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6432" activeTab="4"/>
  </bookViews>
  <sheets>
    <sheet name="Metas  por Tramos" sheetId="30" r:id="rId1"/>
    <sheet name="Metas individuaes" sheetId="29" r:id="rId2"/>
    <sheet name="Criterios de evaluación" sheetId="27" r:id="rId3"/>
    <sheet name="Calidad Cuerpos de Agua" sheetId="26" r:id="rId4"/>
    <sheet name="METAS SUSTENTADAS " sheetId="25" r:id="rId5"/>
    <sheet name="Proyecciones Cargas EMPAS" sheetId="20" r:id="rId6"/>
  </sheets>
  <definedNames>
    <definedName name="_xlnm._FilterDatabase" localSheetId="0" hidden="1">'Metas  por Tramos'!$A$6:$U$50</definedName>
    <definedName name="_xlnm._FilterDatabase" localSheetId="1" hidden="1">'Metas individuaes'!$A$6:$Y$41</definedName>
    <definedName name="_xlnm._FilterDatabase" localSheetId="4" hidden="1">'METAS SUSTENTADAS '!$A$6:$BJ$44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30" l="1"/>
  <c r="E50" i="30"/>
  <c r="F50" i="30"/>
  <c r="G50" i="30"/>
  <c r="H50" i="30"/>
  <c r="I50" i="30"/>
  <c r="J50" i="30"/>
  <c r="K50" i="30"/>
  <c r="L50" i="30"/>
  <c r="M50" i="30"/>
  <c r="N50" i="30"/>
  <c r="O50" i="30"/>
  <c r="P50" i="30"/>
  <c r="C50" i="30"/>
  <c r="P46" i="30"/>
  <c r="O46" i="30"/>
  <c r="N46" i="30"/>
  <c r="M46" i="30"/>
  <c r="L46" i="30"/>
  <c r="K46" i="30"/>
  <c r="J46" i="30"/>
  <c r="I46" i="30"/>
  <c r="H46" i="30"/>
  <c r="G46" i="30"/>
  <c r="F46" i="30"/>
  <c r="E46" i="30"/>
  <c r="D46" i="30"/>
  <c r="C46" i="30"/>
  <c r="D44" i="30"/>
  <c r="E44" i="30"/>
  <c r="F44" i="30"/>
  <c r="G44" i="30"/>
  <c r="H44" i="30"/>
  <c r="I44" i="30"/>
  <c r="J44" i="30"/>
  <c r="K44" i="30"/>
  <c r="L44" i="30"/>
  <c r="M44" i="30"/>
  <c r="N44" i="30"/>
  <c r="O44" i="30"/>
  <c r="P44" i="30"/>
  <c r="C44" i="30"/>
  <c r="D33" i="30"/>
  <c r="E33" i="30"/>
  <c r="F33" i="30"/>
  <c r="G33" i="30"/>
  <c r="H33" i="30"/>
  <c r="I33" i="30"/>
  <c r="J33" i="30"/>
  <c r="K33" i="30"/>
  <c r="L33" i="30"/>
  <c r="M33" i="30"/>
  <c r="N33" i="30"/>
  <c r="O33" i="30"/>
  <c r="P33" i="30"/>
  <c r="C33" i="30"/>
  <c r="D29" i="30"/>
  <c r="E29" i="30"/>
  <c r="F29" i="30"/>
  <c r="G29" i="30"/>
  <c r="H29" i="30"/>
  <c r="I29" i="30"/>
  <c r="J29" i="30"/>
  <c r="K29" i="30"/>
  <c r="L29" i="30"/>
  <c r="M29" i="30"/>
  <c r="N29" i="30"/>
  <c r="O29" i="30"/>
  <c r="P29" i="30"/>
  <c r="C29" i="30"/>
  <c r="D23" i="30"/>
  <c r="E23" i="30"/>
  <c r="F23" i="30"/>
  <c r="G23" i="30"/>
  <c r="H23" i="30"/>
  <c r="I23" i="30"/>
  <c r="J23" i="30"/>
  <c r="K23" i="30"/>
  <c r="L23" i="30"/>
  <c r="M23" i="30"/>
  <c r="N23" i="30"/>
  <c r="O23" i="30"/>
  <c r="P23" i="30"/>
  <c r="C23" i="30"/>
  <c r="D15" i="30"/>
  <c r="E15" i="30"/>
  <c r="F15" i="30"/>
  <c r="G15" i="30"/>
  <c r="H15" i="30"/>
  <c r="I15" i="30"/>
  <c r="J15" i="30"/>
  <c r="K15" i="30"/>
  <c r="L15" i="30"/>
  <c r="M15" i="30"/>
  <c r="N15" i="30"/>
  <c r="O15" i="30"/>
  <c r="P15" i="30"/>
  <c r="C15" i="30"/>
  <c r="D11" i="30"/>
  <c r="E11" i="30"/>
  <c r="F11" i="30"/>
  <c r="G11" i="30"/>
  <c r="H11" i="30"/>
  <c r="I11" i="30"/>
  <c r="J11" i="30"/>
  <c r="K11" i="30"/>
  <c r="L11" i="30"/>
  <c r="M11" i="30"/>
  <c r="N11" i="30"/>
  <c r="O11" i="30"/>
  <c r="P11" i="30"/>
  <c r="C11" i="30"/>
  <c r="D9" i="30"/>
  <c r="E9" i="30"/>
  <c r="F9" i="30"/>
  <c r="G9" i="30"/>
  <c r="H9" i="30"/>
  <c r="I9" i="30"/>
  <c r="J9" i="30"/>
  <c r="K9" i="30"/>
  <c r="L9" i="30"/>
  <c r="M9" i="30"/>
  <c r="N9" i="30"/>
  <c r="O9" i="30"/>
  <c r="P9" i="30"/>
  <c r="C9" i="30"/>
  <c r="AL19" i="25"/>
  <c r="AM19" i="25" s="1"/>
  <c r="AL35" i="25"/>
  <c r="AM35" i="25" s="1"/>
  <c r="BE15" i="25"/>
  <c r="AU15" i="25" s="1"/>
  <c r="BD15" i="25"/>
  <c r="BC15" i="25"/>
  <c r="BB15" i="25"/>
  <c r="BA15" i="25"/>
  <c r="AZ15" i="25"/>
  <c r="AY15" i="25"/>
  <c r="AX15" i="25"/>
  <c r="AW15" i="25"/>
  <c r="AV15" i="25"/>
  <c r="AT15" i="25"/>
  <c r="AS15" i="25"/>
  <c r="AR15" i="25"/>
  <c r="AL15" i="25"/>
  <c r="AM15" i="25" s="1"/>
  <c r="AL16" i="25"/>
  <c r="AM16" i="25" s="1"/>
  <c r="AQ2" i="25"/>
  <c r="AQ1" i="25"/>
  <c r="AU44" i="25" l="1"/>
  <c r="BE44" i="25" s="1"/>
  <c r="AT44" i="25"/>
  <c r="AZ44" i="25" s="1"/>
  <c r="AS44" i="25"/>
  <c r="BA44" i="25" s="1"/>
  <c r="BB44" i="25" s="1"/>
  <c r="BC44" i="25" s="1"/>
  <c r="BD44" i="25" s="1"/>
  <c r="AR44" i="25"/>
  <c r="AV44" i="25" s="1"/>
  <c r="AW44" i="25" s="1"/>
  <c r="AX44" i="25" s="1"/>
  <c r="AY44" i="25" s="1"/>
  <c r="AU43" i="25"/>
  <c r="BE43" i="25" s="1"/>
  <c r="AT43" i="25"/>
  <c r="AZ43" i="25" s="1"/>
  <c r="AS43" i="25"/>
  <c r="BA43" i="25" s="1"/>
  <c r="BB43" i="25" s="1"/>
  <c r="BC43" i="25" s="1"/>
  <c r="BD43" i="25" s="1"/>
  <c r="AR43" i="25"/>
  <c r="AV43" i="25" s="1"/>
  <c r="AW43" i="25" s="1"/>
  <c r="AX43" i="25" s="1"/>
  <c r="AY43" i="25" s="1"/>
  <c r="AU37" i="25"/>
  <c r="BE37" i="25" s="1"/>
  <c r="AT37" i="25"/>
  <c r="AZ37" i="25" s="1"/>
  <c r="AS37" i="25"/>
  <c r="BA37" i="25" s="1"/>
  <c r="BB37" i="25" s="1"/>
  <c r="BC37" i="25" s="1"/>
  <c r="BD37" i="25" s="1"/>
  <c r="AR37" i="25"/>
  <c r="AV37" i="25" s="1"/>
  <c r="AW37" i="25" s="1"/>
  <c r="AX37" i="25" s="1"/>
  <c r="AY37" i="25" s="1"/>
  <c r="AL34" i="25"/>
  <c r="AM34" i="25" s="1"/>
  <c r="BE33" i="25"/>
  <c r="BD33" i="25"/>
  <c r="BC33" i="25"/>
  <c r="BB33" i="25"/>
  <c r="BA33" i="25"/>
  <c r="AZ33" i="25"/>
  <c r="AT33" i="25" s="1"/>
  <c r="AY33" i="25"/>
  <c r="AX33" i="25"/>
  <c r="AW33" i="25"/>
  <c r="AV33" i="25"/>
  <c r="AU33" i="25"/>
  <c r="AS33" i="25"/>
  <c r="AR33" i="25"/>
  <c r="AL33" i="25"/>
  <c r="AM33" i="25" s="1"/>
  <c r="AU36" i="25"/>
  <c r="BE36" i="25" s="1"/>
  <c r="AT36" i="25"/>
  <c r="AZ36" i="25" s="1"/>
  <c r="AS36" i="25"/>
  <c r="BA36" i="25" s="1"/>
  <c r="BB36" i="25" s="1"/>
  <c r="BC36" i="25" s="1"/>
  <c r="BD36" i="25" s="1"/>
  <c r="AR36" i="25"/>
  <c r="AV36" i="25" s="1"/>
  <c r="AW36" i="25" s="1"/>
  <c r="AX36" i="25" s="1"/>
  <c r="AY36" i="25" s="1"/>
  <c r="BE32" i="25"/>
  <c r="BD32" i="25"/>
  <c r="BC32" i="25"/>
  <c r="BB32" i="25"/>
  <c r="BA32" i="25"/>
  <c r="AZ32" i="25"/>
  <c r="AY32" i="25"/>
  <c r="AX32" i="25"/>
  <c r="AW32" i="25"/>
  <c r="AV32" i="25"/>
  <c r="AU32" i="25"/>
  <c r="AT32" i="25"/>
  <c r="AS32" i="25"/>
  <c r="AR32" i="25"/>
  <c r="AL32" i="25"/>
  <c r="AM32" i="25" s="1"/>
  <c r="BE31" i="25"/>
  <c r="AU31" i="25" s="1"/>
  <c r="BD31" i="25"/>
  <c r="BC31" i="25"/>
  <c r="BB31" i="25"/>
  <c r="BA31" i="25"/>
  <c r="AZ31" i="25"/>
  <c r="AY31" i="25"/>
  <c r="AX31" i="25"/>
  <c r="AW31" i="25"/>
  <c r="AV31" i="25"/>
  <c r="AT31" i="25"/>
  <c r="AS31" i="25"/>
  <c r="AR31" i="25"/>
  <c r="AL31" i="25"/>
  <c r="AM31" i="25" s="1"/>
  <c r="R31" i="25"/>
  <c r="O1" i="25"/>
  <c r="N1" i="25"/>
  <c r="AU30" i="25" l="1"/>
  <c r="BE30" i="25" s="1"/>
  <c r="AT30" i="25"/>
  <c r="AZ30" i="25" s="1"/>
  <c r="AS30" i="25"/>
  <c r="BA30" i="25" s="1"/>
  <c r="BB30" i="25" s="1"/>
  <c r="BC30" i="25" s="1"/>
  <c r="BD30" i="25" s="1"/>
  <c r="AR30" i="25"/>
  <c r="AV30" i="25" s="1"/>
  <c r="AW30" i="25" s="1"/>
  <c r="AX30" i="25" s="1"/>
  <c r="AY30" i="25" s="1"/>
  <c r="AU29" i="25"/>
  <c r="BE29" i="25" s="1"/>
  <c r="AT29" i="25"/>
  <c r="AZ29" i="25" s="1"/>
  <c r="AS29" i="25"/>
  <c r="BA29" i="25" s="1"/>
  <c r="BB29" i="25" s="1"/>
  <c r="BC29" i="25" s="1"/>
  <c r="BD29" i="25" s="1"/>
  <c r="AR29" i="25"/>
  <c r="AV29" i="25" s="1"/>
  <c r="AW29" i="25" s="1"/>
  <c r="AX29" i="25" s="1"/>
  <c r="AY29" i="25" s="1"/>
  <c r="AU28" i="25"/>
  <c r="BE28" i="25" s="1"/>
  <c r="AT28" i="25"/>
  <c r="AZ28" i="25" s="1"/>
  <c r="AS28" i="25"/>
  <c r="AR28" i="25"/>
  <c r="AV28" i="25" s="1"/>
  <c r="AU26" i="25"/>
  <c r="BE26" i="25" s="1"/>
  <c r="AT26" i="25"/>
  <c r="AZ26" i="25" s="1"/>
  <c r="AS26" i="25"/>
  <c r="AR26" i="25"/>
  <c r="AU25" i="25"/>
  <c r="BE25" i="25" s="1"/>
  <c r="AT25" i="25"/>
  <c r="AZ25" i="25" s="1"/>
  <c r="AS25" i="25"/>
  <c r="BA25" i="25" s="1"/>
  <c r="BB25" i="25" s="1"/>
  <c r="BC25" i="25" s="1"/>
  <c r="BD25" i="25" s="1"/>
  <c r="AR25" i="25"/>
  <c r="AV25" i="25" s="1"/>
  <c r="AW25" i="25" s="1"/>
  <c r="AX25" i="25" s="1"/>
  <c r="AY25" i="25" s="1"/>
  <c r="AU24" i="25"/>
  <c r="BE24" i="25" s="1"/>
  <c r="AT24" i="25"/>
  <c r="AZ24" i="25" s="1"/>
  <c r="AS24" i="25"/>
  <c r="AR24" i="25"/>
  <c r="AL9" i="25"/>
  <c r="AM9" i="25" s="1"/>
  <c r="AU27" i="25"/>
  <c r="BE27" i="25" s="1"/>
  <c r="AT27" i="25"/>
  <c r="AZ27" i="25" s="1"/>
  <c r="AS27" i="25"/>
  <c r="BA27" i="25" s="1"/>
  <c r="BB27" i="25" s="1"/>
  <c r="BC27" i="25" s="1"/>
  <c r="BD27" i="25" s="1"/>
  <c r="AR27" i="25"/>
  <c r="AV27" i="25" s="1"/>
  <c r="AW27" i="25" s="1"/>
  <c r="AX27" i="25" s="1"/>
  <c r="AY27" i="25" s="1"/>
  <c r="AU42" i="25"/>
  <c r="BB42" i="25" s="1"/>
  <c r="BC42" i="25" s="1"/>
  <c r="BD42" i="25" s="1"/>
  <c r="BE42" i="25" s="1"/>
  <c r="AT42" i="25"/>
  <c r="AW42" i="25" s="1"/>
  <c r="AX42" i="25" s="1"/>
  <c r="AY42" i="25" s="1"/>
  <c r="AZ42" i="25" s="1"/>
  <c r="AS42" i="25"/>
  <c r="BA42" i="25" s="1"/>
  <c r="AR42" i="25"/>
  <c r="AV42" i="25" s="1"/>
  <c r="AS41" i="25"/>
  <c r="BA41" i="25" s="1"/>
  <c r="AU41" i="25"/>
  <c r="BB41" i="25" s="1"/>
  <c r="BC41" i="25" s="1"/>
  <c r="BD41" i="25" s="1"/>
  <c r="BE41" i="25" s="1"/>
  <c r="AT41" i="25"/>
  <c r="AW41" i="25" s="1"/>
  <c r="AX41" i="25" s="1"/>
  <c r="AY41" i="25" s="1"/>
  <c r="AZ41" i="25" s="1"/>
  <c r="AU40" i="25"/>
  <c r="BB40" i="25" s="1"/>
  <c r="BC40" i="25" s="1"/>
  <c r="BD40" i="25" s="1"/>
  <c r="BE40" i="25" s="1"/>
  <c r="AT40" i="25"/>
  <c r="AW40" i="25" s="1"/>
  <c r="AX40" i="25" s="1"/>
  <c r="AY40" i="25" s="1"/>
  <c r="AZ40" i="25" s="1"/>
  <c r="AS40" i="25"/>
  <c r="BA40" i="25" s="1"/>
  <c r="AR40" i="25"/>
  <c r="AV40" i="25" s="1"/>
  <c r="AS39" i="25"/>
  <c r="AT39" i="25"/>
  <c r="AW39" i="25" s="1"/>
  <c r="AX39" i="25" s="1"/>
  <c r="AY39" i="25" s="1"/>
  <c r="AZ39" i="25" s="1"/>
  <c r="AR39" i="25"/>
  <c r="AU39" i="25"/>
  <c r="BB39" i="25" s="1"/>
  <c r="G15" i="20"/>
  <c r="G1" i="20"/>
  <c r="Y32" i="20" l="1"/>
  <c r="W32" i="20"/>
  <c r="U32" i="20"/>
  <c r="S32" i="20"/>
  <c r="Q32" i="20"/>
  <c r="O32" i="20"/>
  <c r="M32" i="20"/>
  <c r="K32" i="20"/>
  <c r="I32" i="20"/>
  <c r="G32" i="20"/>
  <c r="AR41" i="25"/>
  <c r="AV41" i="25" s="1"/>
  <c r="Y26" i="20"/>
  <c r="W26" i="20"/>
  <c r="U26" i="20"/>
  <c r="S26" i="20"/>
  <c r="Q26" i="20"/>
  <c r="O26" i="20"/>
  <c r="M26" i="20"/>
  <c r="K26" i="20"/>
  <c r="I26" i="20"/>
  <c r="G26" i="20"/>
  <c r="AV39" i="25"/>
  <c r="BA39" i="25"/>
  <c r="BC39" i="25" s="1"/>
  <c r="BD39" i="25" s="1"/>
  <c r="BE39" i="25" s="1"/>
  <c r="Y21" i="20"/>
  <c r="W21" i="20"/>
  <c r="U21" i="20"/>
  <c r="S21" i="20"/>
  <c r="Q21" i="20"/>
  <c r="O21" i="20"/>
  <c r="M21" i="20"/>
  <c r="K21" i="20"/>
  <c r="I21" i="20"/>
  <c r="G21" i="20"/>
  <c r="K33" i="20" l="1"/>
  <c r="L27" i="20" s="1"/>
  <c r="O33" i="20"/>
  <c r="P27" i="20" s="1"/>
  <c r="S33" i="20"/>
  <c r="T27" i="20" s="1"/>
  <c r="W33" i="20"/>
  <c r="X27" i="20" s="1"/>
  <c r="L26" i="20"/>
  <c r="T26" i="20"/>
  <c r="J32" i="20"/>
  <c r="J21" i="20"/>
  <c r="I33" i="20"/>
  <c r="J27" i="20" s="1"/>
  <c r="N21" i="20"/>
  <c r="M33" i="20"/>
  <c r="N27" i="20" s="1"/>
  <c r="R21" i="20"/>
  <c r="Q33" i="20"/>
  <c r="R27" i="20" s="1"/>
  <c r="U33" i="20"/>
  <c r="V27" i="20" s="1"/>
  <c r="Y33" i="20"/>
  <c r="Z27" i="20" s="1"/>
  <c r="J26" i="20"/>
  <c r="N26" i="20"/>
  <c r="R26" i="20"/>
  <c r="V26" i="20"/>
  <c r="Z26" i="20"/>
  <c r="L32" i="20"/>
  <c r="P32" i="20"/>
  <c r="T32" i="20"/>
  <c r="X32" i="20"/>
  <c r="G33" i="20"/>
  <c r="H27" i="20" s="1"/>
  <c r="F33" i="20"/>
  <c r="AL22" i="25"/>
  <c r="AM22" i="25" s="1"/>
  <c r="AU21" i="25"/>
  <c r="AT21" i="25"/>
  <c r="AS21" i="25"/>
  <c r="BA21" i="25" s="1"/>
  <c r="BB21" i="25" s="1"/>
  <c r="BC21" i="25" s="1"/>
  <c r="BD21" i="25" s="1"/>
  <c r="BE21" i="25" s="1"/>
  <c r="AR21" i="25"/>
  <c r="AV21" i="25" s="1"/>
  <c r="AW21" i="25" s="1"/>
  <c r="AX21" i="25" s="1"/>
  <c r="AY21" i="25" s="1"/>
  <c r="AZ21" i="25" s="1"/>
  <c r="AU20" i="25"/>
  <c r="AT20" i="25"/>
  <c r="AS20" i="25"/>
  <c r="BA20" i="25" s="1"/>
  <c r="BB20" i="25" s="1"/>
  <c r="BC20" i="25" s="1"/>
  <c r="BD20" i="25" s="1"/>
  <c r="BE20" i="25" s="1"/>
  <c r="AR20" i="25"/>
  <c r="AV20" i="25" s="1"/>
  <c r="AW20" i="25" s="1"/>
  <c r="AX20" i="25" s="1"/>
  <c r="AY20" i="25" s="1"/>
  <c r="AZ20" i="25" s="1"/>
  <c r="S2" i="25"/>
  <c r="Q2" i="25"/>
  <c r="P2" i="25"/>
  <c r="R2" i="25"/>
  <c r="AU18" i="25"/>
  <c r="AT18" i="25"/>
  <c r="AS18" i="25"/>
  <c r="BA18" i="25" s="1"/>
  <c r="BB18" i="25" s="1"/>
  <c r="BC18" i="25" s="1"/>
  <c r="BD18" i="25" s="1"/>
  <c r="BE18" i="25" s="1"/>
  <c r="AR18" i="25"/>
  <c r="AV18" i="25" s="1"/>
  <c r="AW18" i="25" s="1"/>
  <c r="AX18" i="25" s="1"/>
  <c r="AY18" i="25" s="1"/>
  <c r="AZ18" i="25" s="1"/>
  <c r="AU17" i="25"/>
  <c r="AT17" i="25"/>
  <c r="AS17" i="25"/>
  <c r="BA17" i="25" s="1"/>
  <c r="BB17" i="25" s="1"/>
  <c r="BC17" i="25" s="1"/>
  <c r="BD17" i="25" s="1"/>
  <c r="BE17" i="25" s="1"/>
  <c r="AR17" i="25"/>
  <c r="AV17" i="25" s="1"/>
  <c r="AW17" i="25" s="1"/>
  <c r="AX17" i="25" s="1"/>
  <c r="AY17" i="25" s="1"/>
  <c r="AZ17" i="25" s="1"/>
  <c r="AW14" i="25"/>
  <c r="AX14" i="25"/>
  <c r="AY14" i="25"/>
  <c r="AZ14" i="25"/>
  <c r="AT14" i="25" s="1"/>
  <c r="BA14" i="25"/>
  <c r="BB14" i="25"/>
  <c r="BC14" i="25"/>
  <c r="BD14" i="25"/>
  <c r="BE14" i="25"/>
  <c r="AU14" i="25" s="1"/>
  <c r="AV14" i="25"/>
  <c r="AS14" i="25"/>
  <c r="AR14" i="25"/>
  <c r="Z21" i="20" l="1"/>
  <c r="V21" i="20"/>
  <c r="Z32" i="20"/>
  <c r="R32" i="20"/>
  <c r="H32" i="20"/>
  <c r="H21" i="20"/>
  <c r="V32" i="20"/>
  <c r="N32" i="20"/>
  <c r="X26" i="20"/>
  <c r="P26" i="20"/>
  <c r="H26" i="20"/>
  <c r="X21" i="20"/>
  <c r="T21" i="20"/>
  <c r="P21" i="20"/>
  <c r="L21" i="20"/>
  <c r="AU11" i="25"/>
  <c r="BE11" i="25" s="1"/>
  <c r="AT11" i="25"/>
  <c r="AZ11" i="25" s="1"/>
  <c r="AS11" i="25"/>
  <c r="BA11" i="25" s="1"/>
  <c r="BB11" i="25" s="1"/>
  <c r="BC11" i="25" s="1"/>
  <c r="BD11" i="25" s="1"/>
  <c r="AR11" i="25"/>
  <c r="AV11" i="25" s="1"/>
  <c r="AW11" i="25" s="1"/>
  <c r="AX11" i="25" s="1"/>
  <c r="AY11" i="25" s="1"/>
  <c r="AU10" i="25"/>
  <c r="BE10" i="25" s="1"/>
  <c r="AT10" i="25"/>
  <c r="AZ10" i="25" s="1"/>
  <c r="AS10" i="25"/>
  <c r="BA10" i="25" s="1"/>
  <c r="BB10" i="25" s="1"/>
  <c r="BC10" i="25" s="1"/>
  <c r="BD10" i="25" s="1"/>
  <c r="AR10" i="25"/>
  <c r="AV10" i="25" s="1"/>
  <c r="AW10" i="25" s="1"/>
  <c r="AX10" i="25" s="1"/>
  <c r="AY10" i="25" s="1"/>
  <c r="AU8" i="25" l="1"/>
  <c r="BE8" i="25" s="1"/>
  <c r="AT8" i="25"/>
  <c r="AZ8" i="25" s="1"/>
  <c r="AS8" i="25"/>
  <c r="BA8" i="25" s="1"/>
  <c r="BB8" i="25" s="1"/>
  <c r="BC8" i="25" s="1"/>
  <c r="BD8" i="25" s="1"/>
  <c r="AR8" i="25"/>
  <c r="AV8" i="25" s="1"/>
  <c r="AW8" i="25" s="1"/>
  <c r="AX8" i="25" s="1"/>
  <c r="AY8" i="25" s="1"/>
  <c r="Z39" i="20" l="1"/>
  <c r="Z38" i="20"/>
  <c r="Z37" i="20"/>
  <c r="Z36" i="20"/>
  <c r="Z35" i="20"/>
  <c r="Z34" i="20"/>
  <c r="Z31" i="20"/>
  <c r="Z30" i="20"/>
  <c r="Z29" i="20"/>
  <c r="Z28" i="20"/>
  <c r="Z25" i="20"/>
  <c r="Z24" i="20"/>
  <c r="Z23" i="20"/>
  <c r="Z22" i="20"/>
  <c r="Z20" i="20"/>
  <c r="Z19" i="20"/>
  <c r="Z18" i="20"/>
  <c r="Z17" i="20"/>
  <c r="Z16" i="20"/>
  <c r="Z15" i="20"/>
  <c r="Z33" i="20" s="1"/>
  <c r="Z14" i="20"/>
  <c r="Z13" i="20"/>
  <c r="Z12" i="20"/>
  <c r="Z11" i="20"/>
  <c r="Z10" i="20"/>
  <c r="Z9" i="20"/>
  <c r="Z8" i="20"/>
  <c r="Z7" i="20"/>
  <c r="Z6" i="20"/>
  <c r="Z5" i="20"/>
  <c r="X39" i="20"/>
  <c r="X38" i="20"/>
  <c r="X37" i="20"/>
  <c r="X36" i="20"/>
  <c r="X35" i="20"/>
  <c r="X34" i="20"/>
  <c r="X31" i="20"/>
  <c r="X30" i="20"/>
  <c r="X29" i="20"/>
  <c r="X28" i="20"/>
  <c r="X25" i="20"/>
  <c r="X24" i="20"/>
  <c r="X23" i="20"/>
  <c r="X22" i="20"/>
  <c r="X20" i="20"/>
  <c r="X19" i="20"/>
  <c r="X18" i="20"/>
  <c r="X17" i="20"/>
  <c r="X16" i="20"/>
  <c r="X15" i="20"/>
  <c r="X33" i="20" s="1"/>
  <c r="X14" i="20"/>
  <c r="X13" i="20"/>
  <c r="X12" i="20"/>
  <c r="X11" i="20"/>
  <c r="X10" i="20"/>
  <c r="X9" i="20"/>
  <c r="X8" i="20"/>
  <c r="X7" i="20"/>
  <c r="X6" i="20"/>
  <c r="X5" i="20"/>
  <c r="V39" i="20"/>
  <c r="V38" i="20"/>
  <c r="V37" i="20"/>
  <c r="V36" i="20"/>
  <c r="V35" i="20"/>
  <c r="V34" i="20"/>
  <c r="V31" i="20"/>
  <c r="V30" i="20"/>
  <c r="V29" i="20"/>
  <c r="V28" i="20"/>
  <c r="V25" i="20"/>
  <c r="V24" i="20"/>
  <c r="V23" i="20"/>
  <c r="V22" i="20"/>
  <c r="V20" i="20"/>
  <c r="V19" i="20"/>
  <c r="V18" i="20"/>
  <c r="V17" i="20"/>
  <c r="V16" i="20"/>
  <c r="V15" i="20"/>
  <c r="V33" i="20" s="1"/>
  <c r="V14" i="20"/>
  <c r="V13" i="20"/>
  <c r="V12" i="20"/>
  <c r="V11" i="20"/>
  <c r="V10" i="20"/>
  <c r="V9" i="20"/>
  <c r="V8" i="20"/>
  <c r="V7" i="20"/>
  <c r="V6" i="20"/>
  <c r="V5" i="20"/>
  <c r="T39" i="20"/>
  <c r="T38" i="20"/>
  <c r="T37" i="20"/>
  <c r="T36" i="20"/>
  <c r="T35" i="20"/>
  <c r="T34" i="20"/>
  <c r="T31" i="20"/>
  <c r="T30" i="20"/>
  <c r="T29" i="20"/>
  <c r="T28" i="20"/>
  <c r="T25" i="20"/>
  <c r="T24" i="20"/>
  <c r="T23" i="20"/>
  <c r="T22" i="20"/>
  <c r="T20" i="20"/>
  <c r="T19" i="20"/>
  <c r="T18" i="20"/>
  <c r="T17" i="20"/>
  <c r="T16" i="20"/>
  <c r="T15" i="20"/>
  <c r="T33" i="20" s="1"/>
  <c r="T14" i="20"/>
  <c r="T13" i="20"/>
  <c r="T12" i="20"/>
  <c r="T11" i="20"/>
  <c r="T10" i="20"/>
  <c r="T9" i="20"/>
  <c r="T8" i="20"/>
  <c r="T7" i="20"/>
  <c r="T6" i="20"/>
  <c r="T5" i="20"/>
  <c r="R39" i="20"/>
  <c r="R38" i="20"/>
  <c r="R37" i="20"/>
  <c r="R36" i="20"/>
  <c r="R35" i="20"/>
  <c r="R34" i="20"/>
  <c r="R31" i="20"/>
  <c r="R30" i="20"/>
  <c r="R29" i="20"/>
  <c r="R28" i="20"/>
  <c r="R25" i="20"/>
  <c r="R24" i="20"/>
  <c r="R23" i="20"/>
  <c r="R22" i="20"/>
  <c r="R20" i="20"/>
  <c r="R19" i="20"/>
  <c r="R18" i="20"/>
  <c r="R17" i="20"/>
  <c r="R16" i="20"/>
  <c r="R15" i="20"/>
  <c r="R33" i="20" s="1"/>
  <c r="R14" i="20"/>
  <c r="R13" i="20"/>
  <c r="R12" i="20"/>
  <c r="R11" i="20"/>
  <c r="R10" i="20"/>
  <c r="R9" i="20"/>
  <c r="R8" i="20"/>
  <c r="R7" i="20"/>
  <c r="R6" i="20"/>
  <c r="R5" i="20"/>
  <c r="P39" i="20"/>
  <c r="P38" i="20"/>
  <c r="P37" i="20"/>
  <c r="P36" i="20"/>
  <c r="P35" i="20"/>
  <c r="P34" i="20"/>
  <c r="P31" i="20"/>
  <c r="P30" i="20"/>
  <c r="P29" i="20"/>
  <c r="P28" i="20"/>
  <c r="P25" i="20"/>
  <c r="P24" i="20"/>
  <c r="P23" i="20"/>
  <c r="P22" i="20"/>
  <c r="P20" i="20"/>
  <c r="P19" i="20"/>
  <c r="P18" i="20"/>
  <c r="P17" i="20"/>
  <c r="P16" i="20"/>
  <c r="P15" i="20"/>
  <c r="P33" i="20" s="1"/>
  <c r="P14" i="20"/>
  <c r="P13" i="20"/>
  <c r="P12" i="20"/>
  <c r="P11" i="20"/>
  <c r="P10" i="20"/>
  <c r="P9" i="20"/>
  <c r="P8" i="20"/>
  <c r="P7" i="20"/>
  <c r="P6" i="20"/>
  <c r="P5" i="20"/>
  <c r="N39" i="20"/>
  <c r="N38" i="20"/>
  <c r="N37" i="20"/>
  <c r="N36" i="20"/>
  <c r="N35" i="20"/>
  <c r="N34" i="20"/>
  <c r="N31" i="20"/>
  <c r="N30" i="20"/>
  <c r="N29" i="20"/>
  <c r="N28" i="20"/>
  <c r="N25" i="20"/>
  <c r="N24" i="20"/>
  <c r="N23" i="20"/>
  <c r="N22" i="20"/>
  <c r="N20" i="20"/>
  <c r="N19" i="20"/>
  <c r="N18" i="20"/>
  <c r="N17" i="20"/>
  <c r="N16" i="20"/>
  <c r="N15" i="20"/>
  <c r="N33" i="20" s="1"/>
  <c r="N14" i="20"/>
  <c r="N13" i="20"/>
  <c r="N12" i="20"/>
  <c r="N11" i="20"/>
  <c r="N10" i="20"/>
  <c r="N9" i="20"/>
  <c r="N8" i="20"/>
  <c r="N7" i="20"/>
  <c r="N6" i="20"/>
  <c r="N5" i="20"/>
  <c r="L39" i="20"/>
  <c r="L38" i="20"/>
  <c r="L37" i="20"/>
  <c r="L36" i="20"/>
  <c r="L35" i="20"/>
  <c r="L34" i="20"/>
  <c r="L31" i="20"/>
  <c r="L30" i="20"/>
  <c r="L29" i="20"/>
  <c r="L28" i="20"/>
  <c r="L25" i="20"/>
  <c r="L24" i="20"/>
  <c r="L23" i="20"/>
  <c r="L22" i="20"/>
  <c r="L20" i="20"/>
  <c r="L19" i="20"/>
  <c r="L18" i="20"/>
  <c r="L17" i="20"/>
  <c r="L16" i="20"/>
  <c r="L15" i="20"/>
  <c r="L33" i="20" s="1"/>
  <c r="L14" i="20"/>
  <c r="L13" i="20"/>
  <c r="L12" i="20"/>
  <c r="L11" i="20"/>
  <c r="L10" i="20"/>
  <c r="L9" i="20"/>
  <c r="L8" i="20"/>
  <c r="L7" i="20"/>
  <c r="L6" i="20"/>
  <c r="L5" i="20"/>
  <c r="J39" i="20"/>
  <c r="J38" i="20"/>
  <c r="J37" i="20"/>
  <c r="J36" i="20"/>
  <c r="J35" i="20"/>
  <c r="J34" i="20"/>
  <c r="J31" i="20"/>
  <c r="J30" i="20"/>
  <c r="J29" i="20"/>
  <c r="J28" i="20"/>
  <c r="J25" i="20"/>
  <c r="J24" i="20"/>
  <c r="J23" i="20"/>
  <c r="J22" i="20"/>
  <c r="J20" i="20"/>
  <c r="J19" i="20"/>
  <c r="J18" i="20"/>
  <c r="J17" i="20"/>
  <c r="J16" i="20"/>
  <c r="J15" i="20"/>
  <c r="J33" i="20" s="1"/>
  <c r="J14" i="20"/>
  <c r="J13" i="20"/>
  <c r="J12" i="20"/>
  <c r="J11" i="20"/>
  <c r="J10" i="20"/>
  <c r="J9" i="20"/>
  <c r="J8" i="20"/>
  <c r="J7" i="20"/>
  <c r="J6" i="20"/>
  <c r="J5" i="20"/>
  <c r="H39" i="20"/>
  <c r="H38" i="20"/>
  <c r="H37" i="20"/>
  <c r="H36" i="20"/>
  <c r="H35" i="20"/>
  <c r="H34" i="20"/>
  <c r="H31" i="20"/>
  <c r="H30" i="20"/>
  <c r="H29" i="20"/>
  <c r="H28" i="20"/>
  <c r="H25" i="20"/>
  <c r="H24" i="20"/>
  <c r="H23" i="20"/>
  <c r="H22" i="20"/>
  <c r="H20" i="20"/>
  <c r="H19" i="20"/>
  <c r="H18" i="20"/>
  <c r="H17" i="20"/>
  <c r="H16" i="20"/>
  <c r="H15" i="20"/>
  <c r="H33" i="20" s="1"/>
  <c r="H14" i="20"/>
  <c r="H13" i="20"/>
  <c r="H12" i="20"/>
  <c r="H11" i="20"/>
  <c r="H10" i="20"/>
  <c r="H9" i="20"/>
  <c r="H8" i="20"/>
  <c r="H7" i="20"/>
  <c r="H6" i="20"/>
  <c r="H5" i="20"/>
  <c r="AW7" i="25" l="1"/>
  <c r="AX7" i="25"/>
  <c r="AY7" i="25"/>
  <c r="AZ7" i="25"/>
  <c r="AT7" i="25" s="1"/>
  <c r="BA7" i="25"/>
  <c r="BB7" i="25"/>
  <c r="BC7" i="25"/>
  <c r="BD7" i="25"/>
  <c r="BE7" i="25"/>
  <c r="AU7" i="25" s="1"/>
  <c r="AV7" i="25"/>
  <c r="AS7" i="25"/>
  <c r="AR7" i="25"/>
  <c r="E4" i="26"/>
  <c r="E5" i="26"/>
  <c r="E6" i="26"/>
  <c r="E7" i="26"/>
  <c r="E8" i="26"/>
  <c r="E9" i="26"/>
  <c r="I11" i="26"/>
  <c r="E12" i="26"/>
  <c r="E13" i="26"/>
  <c r="S7" i="25" l="1"/>
  <c r="R7" i="25"/>
  <c r="S19" i="25"/>
  <c r="R19" i="25"/>
  <c r="AF19" i="25"/>
  <c r="BE19" i="25" s="1"/>
  <c r="AU19" i="25" s="1"/>
  <c r="AE19" i="25"/>
  <c r="BD19" i="25" s="1"/>
  <c r="AD19" i="25"/>
  <c r="BC19" i="25" s="1"/>
  <c r="AC19" i="25"/>
  <c r="BB19" i="25" s="1"/>
  <c r="AB19" i="25"/>
  <c r="BA19" i="25" s="1"/>
  <c r="V19" i="25"/>
  <c r="AS19" i="25" s="1"/>
  <c r="AA19" i="25"/>
  <c r="AZ19" i="25" s="1"/>
  <c r="AT19" i="25" s="1"/>
  <c r="Z19" i="25"/>
  <c r="AY19" i="25" s="1"/>
  <c r="Y19" i="25"/>
  <c r="AX19" i="25" s="1"/>
  <c r="X19" i="25"/>
  <c r="AW19" i="25" s="1"/>
  <c r="W19" i="25"/>
  <c r="AV19" i="25" s="1"/>
  <c r="U19" i="25"/>
  <c r="AR19" i="25" s="1"/>
  <c r="S31" i="25" l="1"/>
  <c r="S32" i="25"/>
  <c r="R32" i="25"/>
  <c r="AF22" i="25"/>
  <c r="BE22" i="25" s="1"/>
  <c r="AU22" i="25" s="1"/>
  <c r="AE22" i="25"/>
  <c r="BD22" i="25" s="1"/>
  <c r="AD22" i="25"/>
  <c r="BC22" i="25" s="1"/>
  <c r="AC22" i="25"/>
  <c r="BB22" i="25" s="1"/>
  <c r="AB22" i="25"/>
  <c r="BA22" i="25" s="1"/>
  <c r="V22" i="25"/>
  <c r="AS22" i="25" s="1"/>
  <c r="AA22" i="25"/>
  <c r="Z22" i="25"/>
  <c r="AY22" i="25" s="1"/>
  <c r="Y22" i="25"/>
  <c r="AX22" i="25" s="1"/>
  <c r="X22" i="25"/>
  <c r="AW22" i="25" s="1"/>
  <c r="W22" i="25"/>
  <c r="AV22" i="25" s="1"/>
  <c r="U22" i="25"/>
  <c r="AR22" i="25" s="1"/>
  <c r="S12" i="25"/>
  <c r="AS12" i="25" s="1"/>
  <c r="BA12" i="25" s="1"/>
  <c r="BB12" i="25" s="1"/>
  <c r="BC12" i="25" s="1"/>
  <c r="BD12" i="25" s="1"/>
  <c r="BE12" i="25" s="1"/>
  <c r="AU12" i="25" s="1"/>
  <c r="AF34" i="25"/>
  <c r="BE34" i="25" s="1"/>
  <c r="AU34" i="25" s="1"/>
  <c r="AE34" i="25"/>
  <c r="BD34" i="25" s="1"/>
  <c r="AD34" i="25"/>
  <c r="BC34" i="25" s="1"/>
  <c r="AC34" i="25"/>
  <c r="BB34" i="25" s="1"/>
  <c r="AB34" i="25"/>
  <c r="BA34" i="25" s="1"/>
  <c r="AA34" i="25"/>
  <c r="AZ34" i="25" s="1"/>
  <c r="AT34" i="25" s="1"/>
  <c r="Z34" i="25"/>
  <c r="AY34" i="25" s="1"/>
  <c r="Y34" i="25"/>
  <c r="AX34" i="25" s="1"/>
  <c r="X34" i="25"/>
  <c r="AW34" i="25" s="1"/>
  <c r="W34" i="25"/>
  <c r="AV34" i="25" s="1"/>
  <c r="V34" i="25"/>
  <c r="AS34" i="25" s="1"/>
  <c r="U34" i="25"/>
  <c r="AR34" i="25" s="1"/>
  <c r="R28" i="25"/>
  <c r="AZ22" i="25" l="1"/>
  <c r="AT22" i="25" s="1"/>
  <c r="S28" i="25"/>
  <c r="AF16" i="25"/>
  <c r="BE16" i="25" s="1"/>
  <c r="AU16" i="25" s="1"/>
  <c r="AE16" i="25"/>
  <c r="BD16" i="25" s="1"/>
  <c r="AD16" i="25"/>
  <c r="BC16" i="25" s="1"/>
  <c r="AC16" i="25"/>
  <c r="BB16" i="25" s="1"/>
  <c r="AB16" i="25"/>
  <c r="BA16" i="25" s="1"/>
  <c r="AA16" i="25"/>
  <c r="AZ16" i="25" s="1"/>
  <c r="AT16" i="25" s="1"/>
  <c r="Z16" i="25"/>
  <c r="AY16" i="25" s="1"/>
  <c r="X16" i="25"/>
  <c r="AW16" i="25" s="1"/>
  <c r="Y16" i="25"/>
  <c r="AX16" i="25" s="1"/>
  <c r="W16" i="25"/>
  <c r="AV16" i="25" s="1"/>
  <c r="V16" i="25"/>
  <c r="AS16" i="25" s="1"/>
  <c r="U16" i="25"/>
  <c r="AR16" i="25" s="1"/>
  <c r="S16" i="25"/>
  <c r="R16" i="25"/>
  <c r="S9" i="25" l="1"/>
  <c r="R9" i="25"/>
  <c r="AR9" i="25" s="1"/>
  <c r="AV9" i="25" s="1"/>
  <c r="AW9" i="25" s="1"/>
  <c r="AX9" i="25" s="1"/>
  <c r="AY9" i="25" s="1"/>
  <c r="AZ9" i="25" s="1"/>
  <c r="AT9" i="25" s="1"/>
  <c r="AS9" i="25" l="1"/>
  <c r="BA9" i="25" s="1"/>
  <c r="BB9" i="25" s="1"/>
  <c r="BC9" i="25" s="1"/>
  <c r="BD9" i="25" s="1"/>
  <c r="BE9" i="25" s="1"/>
  <c r="AU9" i="25" s="1"/>
  <c r="S24" i="25"/>
  <c r="BA24" i="25" s="1"/>
  <c r="BB24" i="25" s="1"/>
  <c r="BC24" i="25" s="1"/>
  <c r="BD24" i="25" s="1"/>
  <c r="R24" i="25"/>
  <c r="AV24" i="25" s="1"/>
  <c r="AW24" i="25" s="1"/>
  <c r="AX24" i="25" s="1"/>
  <c r="AY24" i="25" s="1"/>
  <c r="BA28" i="25" l="1"/>
  <c r="BB28" i="25" s="1"/>
  <c r="BC28" i="25" s="1"/>
  <c r="BD28" i="25" s="1"/>
  <c r="AW28" i="25"/>
  <c r="AX28" i="25" s="1"/>
  <c r="AY28" i="25" s="1"/>
  <c r="S26" i="25"/>
  <c r="BA26" i="25" s="1"/>
  <c r="BB26" i="25" s="1"/>
  <c r="BC26" i="25" s="1"/>
  <c r="BD26" i="25" s="1"/>
  <c r="R26" i="25"/>
  <c r="AV26" i="25" s="1"/>
  <c r="AW26" i="25" s="1"/>
  <c r="AX26" i="25" s="1"/>
  <c r="AY26" i="25" s="1"/>
  <c r="R12" i="25"/>
  <c r="AR12" i="25" s="1"/>
  <c r="AV12" i="25" s="1"/>
  <c r="AW12" i="25" s="1"/>
  <c r="AX12" i="25" s="1"/>
  <c r="AY12" i="25" s="1"/>
  <c r="AZ12" i="25" s="1"/>
  <c r="AT12" i="25" s="1"/>
  <c r="S35" i="25"/>
  <c r="AS35" i="25" s="1"/>
  <c r="BA35" i="25" s="1"/>
  <c r="BB35" i="25" s="1"/>
  <c r="BC35" i="25" s="1"/>
  <c r="BD35" i="25" s="1"/>
  <c r="BE35" i="25" s="1"/>
  <c r="AU35" i="25" s="1"/>
  <c r="R35" i="25"/>
  <c r="AR35" i="25" s="1"/>
  <c r="AV35" i="25" s="1"/>
  <c r="AW35" i="25" s="1"/>
  <c r="AX35" i="25" s="1"/>
  <c r="AY35" i="25" s="1"/>
  <c r="AZ35" i="25" s="1"/>
  <c r="AT35" i="25" s="1"/>
  <c r="AL12" i="25"/>
  <c r="AM12" i="25" s="1"/>
  <c r="AL14" i="25"/>
  <c r="AM14" i="25" s="1"/>
  <c r="S15" i="25"/>
  <c r="S1" i="25" s="1"/>
  <c r="R15" i="25"/>
  <c r="R1" i="25" s="1"/>
  <c r="AL7" i="25"/>
  <c r="AM7" i="25" s="1"/>
</calcChain>
</file>

<file path=xl/sharedStrings.xml><?xml version="1.0" encoding="utf-8"?>
<sst xmlns="http://schemas.openxmlformats.org/spreadsheetml/2006/main" count="2152" uniqueCount="346">
  <si>
    <t>DBO5</t>
  </si>
  <si>
    <t>SST</t>
  </si>
  <si>
    <t>Nacimiento RO -O5</t>
  </si>
  <si>
    <t>Consumo humano y doméstico</t>
  </si>
  <si>
    <t>Usuario</t>
  </si>
  <si>
    <t>Carga proyectada 2018</t>
  </si>
  <si>
    <t>Carga meta propuesta en  consulta o PSMV</t>
  </si>
  <si>
    <t xml:space="preserve">Carga meta asignada CDMB </t>
  </si>
  <si>
    <t xml:space="preserve">PIEDECUESTANA DE SERVICIOS PUBLICOS </t>
  </si>
  <si>
    <t>NP</t>
  </si>
  <si>
    <t>RO 05 -RO 4A</t>
  </si>
  <si>
    <t>Agrícola</t>
  </si>
  <si>
    <t>1.06</t>
  </si>
  <si>
    <t>0.20</t>
  </si>
  <si>
    <t>LUBRICENTRO LOS COLORADOS-LYDA MARCELA BARRAGAN COMBITA-</t>
  </si>
  <si>
    <t>0.34</t>
  </si>
  <si>
    <t>1.95</t>
  </si>
  <si>
    <t>0.39</t>
  </si>
  <si>
    <t>MOTOR CUMMINS-MARCO ANTONIO NIÑO</t>
  </si>
  <si>
    <t>0.35</t>
  </si>
  <si>
    <t>0.74</t>
  </si>
  <si>
    <t>NI</t>
  </si>
  <si>
    <t>RO 4A -RO 01</t>
  </si>
  <si>
    <t>Estético</t>
  </si>
  <si>
    <t xml:space="preserve">HARINAGRO S.A. </t>
  </si>
  <si>
    <t>30.13</t>
  </si>
  <si>
    <t xml:space="preserve">FRESKALECHE S.A </t>
  </si>
  <si>
    <t>39.48</t>
  </si>
  <si>
    <t>11.61</t>
  </si>
  <si>
    <t>35.53</t>
  </si>
  <si>
    <t>10.45</t>
  </si>
  <si>
    <t xml:space="preserve">ORGANIZACION TERPEL S.A. </t>
  </si>
  <si>
    <t>0.11</t>
  </si>
  <si>
    <t>LAVADERO LA SAMARIA -EDGAR BASTOS BASTOS</t>
  </si>
  <si>
    <t>0.28</t>
  </si>
  <si>
    <t xml:space="preserve">CENTRAL DE ABASTOS B/MANGA </t>
  </si>
  <si>
    <t>9.00</t>
  </si>
  <si>
    <t>1.90</t>
  </si>
  <si>
    <t xml:space="preserve">LUBRIABASTOS-CENTROABASTOS B/MANGA </t>
  </si>
  <si>
    <t xml:space="preserve">INCUBADORA SANTANDER </t>
  </si>
  <si>
    <t>0.13</t>
  </si>
  <si>
    <t>EMPRESA MUNICIPAL DE ASEO DE BUCARAMANGA-CARRASCO</t>
  </si>
  <si>
    <t>157.68</t>
  </si>
  <si>
    <t>23.65</t>
  </si>
  <si>
    <t>116.64</t>
  </si>
  <si>
    <t>9.38</t>
  </si>
  <si>
    <t xml:space="preserve"> EMPRESA MUNICIPAL DE ASEO DE BUCARAMANGA-LAVADERO DE CARROS</t>
  </si>
  <si>
    <t>0.17</t>
  </si>
  <si>
    <t>0.44</t>
  </si>
  <si>
    <t>0.16965</t>
  </si>
  <si>
    <t>0.43562</t>
  </si>
  <si>
    <t>1.08</t>
  </si>
  <si>
    <t>PARQUEADERO LOS MANGOS -ALIRIO MENDEZ</t>
  </si>
  <si>
    <t>0.85</t>
  </si>
  <si>
    <t>7.00</t>
  </si>
  <si>
    <t>1.34</t>
  </si>
  <si>
    <t xml:space="preserve">PARQUE INDUSTRIAL BUCARAMANGA </t>
  </si>
  <si>
    <t>34.71</t>
  </si>
  <si>
    <t>6.27</t>
  </si>
  <si>
    <t xml:space="preserve">ICOHARINAS LTDA </t>
  </si>
  <si>
    <t>0.075</t>
  </si>
  <si>
    <t>0.025</t>
  </si>
  <si>
    <t xml:space="preserve">INSERCOL S.A. </t>
  </si>
  <si>
    <t>1.81</t>
  </si>
  <si>
    <t>1.77</t>
  </si>
  <si>
    <t>PROCESAN S.A PROCESADORA DE CARNES DE SANTANDER</t>
  </si>
  <si>
    <t>LAVADERO MORRORICO-EMIRO ANAYA BASTO</t>
  </si>
  <si>
    <t>0.078</t>
  </si>
  <si>
    <t>0.065</t>
  </si>
  <si>
    <t xml:space="preserve">FEMSA - INDUSTRIA NACIONAL DE GASEOSAS </t>
  </si>
  <si>
    <t>7.18</t>
  </si>
  <si>
    <t>7.39</t>
  </si>
  <si>
    <t>LAVADERO EL PALENQUE -WALTER YESID ACEVEDO CASTRO</t>
  </si>
  <si>
    <t>0.47</t>
  </si>
  <si>
    <t>4.14</t>
  </si>
  <si>
    <t>0.467</t>
  </si>
  <si>
    <t>AVIDESA MAC POLLO S.A.</t>
  </si>
  <si>
    <t>27.81</t>
  </si>
  <si>
    <t>20.01</t>
  </si>
  <si>
    <t>8.34</t>
  </si>
  <si>
    <t>ACUEDUCTO METROPOLITANO DE BUCARAMANGA S A. E.S.P.</t>
  </si>
  <si>
    <t>0.503</t>
  </si>
  <si>
    <t>153.30</t>
  </si>
  <si>
    <t>Q.MENSULÍ</t>
  </si>
  <si>
    <t>Único</t>
  </si>
  <si>
    <t xml:space="preserve">FENIX CONSTRUCCIONES S.A. </t>
  </si>
  <si>
    <t>0.02</t>
  </si>
  <si>
    <t>ZONA FRANCA DE SANTANDER</t>
  </si>
  <si>
    <t>1.30</t>
  </si>
  <si>
    <t xml:space="preserve">SALON DE ASAMBLEAS TESTIGOS DE JEHOVA </t>
  </si>
  <si>
    <t xml:space="preserve">AVIDESA MAC POLLO S.A. </t>
  </si>
  <si>
    <t>Suratá</t>
  </si>
  <si>
    <t xml:space="preserve">CEMEX COLOMBIA S.A. </t>
  </si>
  <si>
    <t>BAVARIA</t>
  </si>
  <si>
    <t>Municipio</t>
  </si>
  <si>
    <t>Cuenca</t>
  </si>
  <si>
    <t>SA 03 -SA 01</t>
  </si>
  <si>
    <t>R. FRIO</t>
  </si>
  <si>
    <t>R. DE ORO</t>
  </si>
  <si>
    <t xml:space="preserve">Uso Actual </t>
  </si>
  <si>
    <t>Uso Potencial</t>
  </si>
  <si>
    <t>Bucaramanga</t>
  </si>
  <si>
    <t>Piedecuesta</t>
  </si>
  <si>
    <t>Floridablanca</t>
  </si>
  <si>
    <t>Giron</t>
  </si>
  <si>
    <t>Tramo AMB</t>
  </si>
  <si>
    <t>SA-CM-AMB - SA-01</t>
  </si>
  <si>
    <t>SA-CM-AMB - SA-02</t>
  </si>
  <si>
    <t>SA-CM-AMB - SA-03</t>
  </si>
  <si>
    <t>AZ-07 - AZ-SP-AMB</t>
  </si>
  <si>
    <t>Nombre Tramo</t>
  </si>
  <si>
    <t xml:space="preserve">Puntos Tramo </t>
  </si>
  <si>
    <t>Tramo Quebrada Aranzoque</t>
  </si>
  <si>
    <t>Tramo Rio Suratá</t>
  </si>
  <si>
    <t>Primer Tramo Río Frio</t>
  </si>
  <si>
    <t>Segundo Tramo Río Frio</t>
  </si>
  <si>
    <t>RF-LM-AMB - RF-P</t>
  </si>
  <si>
    <t>RF-P  -  RF-1A</t>
  </si>
  <si>
    <t>R. ORO</t>
  </si>
  <si>
    <t xml:space="preserve">Tercer Tramo Río de Oro </t>
  </si>
  <si>
    <t>RO-4A  -  RO-02-AMB</t>
  </si>
  <si>
    <t xml:space="preserve">Cuarto Tramo Río de Oro </t>
  </si>
  <si>
    <t>RO-02-AMB - RO-PI-AMB</t>
  </si>
  <si>
    <t>Quinto Tramo Río de Oro</t>
  </si>
  <si>
    <t>RO-PI-AMB  -  RO-01</t>
  </si>
  <si>
    <t xml:space="preserve">Tramo La Iglesia </t>
  </si>
  <si>
    <t>LF-01 - LI-01</t>
  </si>
  <si>
    <t>ACUEDUCTO METROPOLITANO DE BUCARAMANGA S A. E.S.P. (Planta la Flora)</t>
  </si>
  <si>
    <t>Primer Tramo Río de Oro</t>
  </si>
  <si>
    <t>RO-05  -  RO-CM-AMB</t>
  </si>
  <si>
    <t>Segundo Tramo Río de Oro</t>
  </si>
  <si>
    <t>RO-CNG-AMB - RO-4A</t>
  </si>
  <si>
    <t>R.DE ORO</t>
  </si>
  <si>
    <t>RO4A-RO-01</t>
  </si>
  <si>
    <t>LA IGLESIA</t>
  </si>
  <si>
    <t>LF-01-LI-01</t>
  </si>
  <si>
    <t xml:space="preserve">PTAR MUNICIPIO DE GIRON </t>
  </si>
  <si>
    <t>Tramo Quebrada Aranzoque (AZ-07 - AZ-SP-AMB)</t>
  </si>
  <si>
    <t>Tramo CDMB</t>
  </si>
  <si>
    <t xml:space="preserve">PRESENTA
PROPUESTA </t>
  </si>
  <si>
    <t>LINEA BASE 
PROPUESTA 2014 
 (Kg/año)</t>
  </si>
  <si>
    <t>CALIFICACIÓN DE CRITERIOS DE EVALUACIÓN</t>
  </si>
  <si>
    <t>RESULTADOS</t>
  </si>
  <si>
    <t>CARGAS METAS (kg/año) ESTABLECIDAS PARA EL PERIODO 2015-2019</t>
  </si>
  <si>
    <t>LINEA BASE 2014
 (kg/año)</t>
  </si>
  <si>
    <t>CARGA META 2019 
 (kg/año)</t>
  </si>
  <si>
    <t>CRONOGRAMA DE METAS (kg/año)</t>
  </si>
  <si>
    <t>PUNTOS DE VERTIMIENTO A ELIMINAR</t>
  </si>
  <si>
    <t>1. REQUISITOS 
LEGALES</t>
  </si>
  <si>
    <t>2. VIABILIDAD 
TÉCNICA</t>
  </si>
  <si>
    <t>3.LINEA BASE 
(Criticidad del 
Tramo Afectado)</t>
  </si>
  <si>
    <t>4.CLASIFICACIÓN 
DEL
CUERPO DE AGUA</t>
  </si>
  <si>
    <t>5. COHERENCIA 
Y GESTIÓN
DE CARGAS</t>
  </si>
  <si>
    <t>PUNTAJE
(p)</t>
  </si>
  <si>
    <t>%</t>
  </si>
  <si>
    <t>DECISIÓN</t>
  </si>
  <si>
    <t>REQUERIMIENTOS</t>
  </si>
  <si>
    <t>1. APROBADA 
( p&gt;70%)</t>
  </si>
  <si>
    <t>2. CONDICIONADA
PARA AJUSTES
INTERNOS (50%&lt;p&lt;70)</t>
  </si>
  <si>
    <t>3.RECHAZAD PARA
CÁLCULOS PRESUNTIVOS (p&lt;50%)</t>
  </si>
  <si>
    <t>No</t>
  </si>
  <si>
    <t xml:space="preserve">Carga base 2013 Publicada </t>
  </si>
  <si>
    <t xml:space="preserve"> METAS DE CARGA CONTAMINANTE DBO5 Y SST QUINQUENIO 2014 -2018 - Ton/año CDMB</t>
  </si>
  <si>
    <t>Linea Base (Ton/año)</t>
  </si>
  <si>
    <t>Si</t>
  </si>
  <si>
    <t>Carga base 2014 (Autodeclarecion)</t>
  </si>
  <si>
    <t>-------</t>
  </si>
  <si>
    <t>------</t>
  </si>
  <si>
    <t xml:space="preserve">INPEC - RECLUSION DE MUJERES DE BUCARAMANGA </t>
  </si>
  <si>
    <t>CASA DIESEL - PARQUEADERO</t>
  </si>
  <si>
    <t>El lavadero esta fuera de funcionamiento y se piensa reactivar dentro de 4 a 5 años con una planta de tratamiento de ultima tecnología. Se retira de la Línea Base por sugerencia del grupo del recurso hídrico perteneciente a la coordinación de aseguramiento Legal.</t>
  </si>
  <si>
    <t>--------</t>
  </si>
  <si>
    <r>
      <t>CRONOGRAMA DE METAS PROPUESTO (</t>
    </r>
    <r>
      <rPr>
        <sz val="10"/>
        <color indexed="8"/>
        <rFont val="Arial Narrow"/>
        <family val="2"/>
      </rPr>
      <t>Kg/año</t>
    </r>
    <r>
      <rPr>
        <b/>
        <sz val="10"/>
        <color indexed="8"/>
        <rFont val="Arial Narrow"/>
        <family val="2"/>
      </rPr>
      <t>)</t>
    </r>
  </si>
  <si>
    <t>Uso Deseado</t>
  </si>
  <si>
    <r>
      <t>DBO</t>
    </r>
    <r>
      <rPr>
        <b/>
        <vertAlign val="subscript"/>
        <sz val="7"/>
        <color rgb="FF000000"/>
        <rFont val="Calibri"/>
      </rPr>
      <t xml:space="preserve">5 </t>
    </r>
    <r>
      <rPr>
        <b/>
        <sz val="7"/>
        <color rgb="FF000000"/>
        <rFont val="Calibri"/>
      </rPr>
      <t xml:space="preserve"> (mg/L)</t>
    </r>
  </si>
  <si>
    <t>SST (mg/L)</t>
  </si>
  <si>
    <t>OXÍGENO DISUELTO (mg/L)</t>
  </si>
  <si>
    <t>COLIFORMES FECALES (NMP/100mL)</t>
  </si>
  <si>
    <t>COLIFORMES TOTALES (NMP/100mL)</t>
  </si>
  <si>
    <t>pH (Unidades de pH)</t>
  </si>
  <si>
    <t>Cumple Objetivos de Calidad?</t>
  </si>
  <si>
    <t>Deseado</t>
  </si>
  <si>
    <t>Medido</t>
  </si>
  <si>
    <t>Tramo 2. Rio de Oro</t>
  </si>
  <si>
    <t>RO-05 - RO-4A</t>
  </si>
  <si>
    <t>Primer Tramo Rio de Oro (RO-05 - RO-CM-AMB)</t>
  </si>
  <si>
    <t>Agrícola (Riego)</t>
  </si>
  <si>
    <t>&lt;200</t>
  </si>
  <si>
    <t>&gt;5</t>
  </si>
  <si>
    <t>&lt;1000</t>
  </si>
  <si>
    <t>&lt;5000</t>
  </si>
  <si>
    <t>4,5-9</t>
  </si>
  <si>
    <t>NO</t>
  </si>
  <si>
    <t>Segundo Tramo Rio de Oro (RO-CNG-AMB - RO-4A)</t>
  </si>
  <si>
    <t>Tramo 5. Rio de Oro</t>
  </si>
  <si>
    <t>RO-4A - RO-01</t>
  </si>
  <si>
    <t>Tercer Tramo Rio de Oro  (RO-4A - RO-02-AMB)</t>
  </si>
  <si>
    <t>&gt;3</t>
  </si>
  <si>
    <t>Cuarto Tramo Rio de Oro (RO-02-AMB - RO-PI-AMB)</t>
  </si>
  <si>
    <t>Quinto Tramo Rio de Oro (RO-PI-AMB - RO-01)</t>
  </si>
  <si>
    <t>&lt;20</t>
  </si>
  <si>
    <t>SI</t>
  </si>
  <si>
    <t>Tramo 3. Quebrada Aranzoque o Mesuli</t>
  </si>
  <si>
    <t>&lt;120</t>
  </si>
  <si>
    <t>Tramo 4. Rio Frio</t>
  </si>
  <si>
    <t>&gt;2</t>
  </si>
  <si>
    <t>Definicion de   Criterios de evaluacion y puntajes de  calificacion</t>
  </si>
  <si>
    <t>Puntaje asignado</t>
  </si>
  <si>
    <t>1. Requisitos legales</t>
  </si>
  <si>
    <t>2. Viabilidad tecnica</t>
  </si>
  <si>
    <t>3.Linea base (con base en matriz de criticidad del tramo afectado de CORPOCESAR)</t>
  </si>
  <si>
    <t>4.Clasificacion del cuerpo de agua</t>
  </si>
  <si>
    <t>5. Coherencia y gestion de cargas</t>
  </si>
  <si>
    <t>RESULTADO</t>
  </si>
  <si>
    <t>1. Aprobada</t>
  </si>
  <si>
    <t>2. Aceptada para ajustes internos</t>
  </si>
  <si>
    <t>3.Rechazada para calculos  presuntivos</t>
  </si>
  <si>
    <t>Cuando no considera en la propuesta la calidad y el OBJETIVO DE CALIDAD DEL TRAMO</t>
  </si>
  <si>
    <t xml:space="preserve">Las cabeceras de las fuentes de agua y aguas subterráneas
</t>
  </si>
  <si>
    <t>Cuando cumple con el 70% o mas de los puntos</t>
  </si>
  <si>
    <t>Cuando cumple con el puntaje está entre el 50 y el 69% de los puntos</t>
  </si>
  <si>
    <t>Cuando la propuesta cumple con un porcentaje inferior al 50% de los puntos</t>
  </si>
  <si>
    <t>Fallas graves en calculos de cargas</t>
  </si>
  <si>
    <t>CIENAGAS Y CUERPOS CONFINADOS o SEMICONFINADOS ALTAMENTE SENSIBLES A DESCARGAS LÍQUIDAS.Se incluyen arroyos y caños que permencen secos al menos 30 dias a año.</t>
  </si>
  <si>
    <t>Cienagas o lagos</t>
  </si>
  <si>
    <t>Municipios o empresas con escasa disciplina y cumplimiento de normas de vertimientno</t>
  </si>
  <si>
    <t>fallas subsanables en calculos de cargas</t>
  </si>
  <si>
    <t xml:space="preserve">CIENAGAS Y LAGOS SEMICONFINADOS QUE DEPENDEN DE RIOS CAUDALOSOS DE CALIDAD REGULAR O BUENA
</t>
  </si>
  <si>
    <t>Vertimientos aguas arribas de bocatomas publicas</t>
  </si>
  <si>
    <t>Municipios y empresas en mejoramiento con respecto a las normas cumplimeinto de compromisos relacionados con la reduccionde cargas)</t>
  </si>
  <si>
    <t>Calculo de cargas ajsutados a requisitos</t>
  </si>
  <si>
    <t xml:space="preserve">CUERPOS DE AGUA CAUDALOSOS QUE EN TIEMPO SECO  SUPONEN GRAN CAPACIDAD DE ASIMILACION
</t>
  </si>
  <si>
    <t>Clase II ( rios, quebradas o arroyos)</t>
  </si>
  <si>
    <t>Municipios y empresas al dia en las normas cumplimeinto de compromisos relacionados con la reduccionde cargas)</t>
  </si>
  <si>
    <t>La propuesta solo se evalua si se presenta en la fecha definida  en el taller No 3 y si se radica con el original y la copia electronica en el formato orignal con los respectivos soportes. Si se califca con cero (0), no se evaluan los demas criterios. Si cumple requisito se asignan 5 puntos*</t>
  </si>
  <si>
    <t xml:space="preserve">*El AMB Decide recibir las propuestas radicadas dentro del 11 al 15 de mayo de 2015 </t>
  </si>
  <si>
    <t>X</t>
  </si>
  <si>
    <t>EMPAS S.A. (Emisario Suratá-Kennedy)</t>
  </si>
  <si>
    <t>EMPAS S.A.</t>
  </si>
  <si>
    <t>No.</t>
  </si>
  <si>
    <t>CORRIENTE</t>
  </si>
  <si>
    <t>Ident.</t>
  </si>
  <si>
    <t>VERTIMIENTO</t>
  </si>
  <si>
    <t>CARGA</t>
  </si>
  <si>
    <t>Chitota</t>
  </si>
  <si>
    <t>DBO (Kg/día)</t>
  </si>
  <si>
    <t>SST (kg/día)</t>
  </si>
  <si>
    <t>Bypass PTAR Río Frío</t>
  </si>
  <si>
    <t>PTAR Río Frío</t>
  </si>
  <si>
    <t>Río Frío</t>
  </si>
  <si>
    <t>La Angelina</t>
  </si>
  <si>
    <t>TOTAL CORRIENTE = TOTAL TRAMO</t>
  </si>
  <si>
    <t>Provisional 1</t>
  </si>
  <si>
    <t>Provisional 2</t>
  </si>
  <si>
    <t>Provisional 3</t>
  </si>
  <si>
    <t>Q. La Iglesia</t>
  </si>
  <si>
    <t>Provisional 4</t>
  </si>
  <si>
    <t>Provisional 5</t>
  </si>
  <si>
    <t>Provisional 6</t>
  </si>
  <si>
    <t>TOTAL CORRIENTE</t>
  </si>
  <si>
    <t>Interceptor Río de Oro Margen Derecha</t>
  </si>
  <si>
    <t>Interceptor Río de Oro Margen Izquierda</t>
  </si>
  <si>
    <t>El Palenque</t>
  </si>
  <si>
    <t>El Carrizal</t>
  </si>
  <si>
    <t>Zona Industrial Chimitá</t>
  </si>
  <si>
    <t>Q. la Rosita (Q. Chimitá)</t>
  </si>
  <si>
    <t>Q. La Joya (Q. Chimitá)</t>
  </si>
  <si>
    <t>Q. Seca (Q. Chimitá)</t>
  </si>
  <si>
    <t>Río de Oro</t>
  </si>
  <si>
    <t>Q. La Cuyamita</t>
  </si>
  <si>
    <t>Q. Las Navas</t>
  </si>
  <si>
    <t>Q. Chapinero</t>
  </si>
  <si>
    <t>Q. La Picha</t>
  </si>
  <si>
    <t>Villas de San Ignacio - Café Madrid I</t>
  </si>
  <si>
    <t>Café Madrid II</t>
  </si>
  <si>
    <t>TOTAL TRAMO</t>
  </si>
  <si>
    <t>Vegas de Morrorico</t>
  </si>
  <si>
    <t>Río Suratá</t>
  </si>
  <si>
    <t>Barrio Nuevo-La Escuadra</t>
  </si>
  <si>
    <t>Barrio las Delicias</t>
  </si>
  <si>
    <t>Emisario Suratá-Kennedy</t>
  </si>
  <si>
    <t>TOTAL EMPAS</t>
  </si>
  <si>
    <t>TRAMO CDMB</t>
  </si>
  <si>
    <t>Río De Oro 
RO-4A a RO-01</t>
  </si>
  <si>
    <t>Río Suratá
SA-03 a SA-01</t>
  </si>
  <si>
    <t>TRAMO AMB</t>
  </si>
  <si>
    <t>La empresa presenta propuesta coherente con el sistema actual que tiene para el tratamiento de sus aguas residuales, con eficiencias del 86% para la DBO5 y del 90% para los SST. Además, al proponer mantener sus cargas actuales pese al crecimiento de la empresa garantiza mantener las condiciones actuales de la fuente receptora. Según lo anterior se acepta las cargas propuestas por la empresa para el periodo 2015-2019.</t>
  </si>
  <si>
    <t>Las Empresa no asistió al proceso de consulta, ni presento metas. Según lo anterior las metas deberían ser extraídas de las cargas proyectadas año a año en el PSMV aprobado de EMPAS. Sin embargo, después de realizar un análisis de las mismas, se evidencio que se encuentran muy alejadas de los valores propuestos en el acuerdo realizado con la CDMB en el 2013, y considerando el proceso riguroso desarrollado con dicha corporación el AMB establece mantener las metas establecidas por las CDMB. 
Se aclara que debido a que el AMB cuenta con tramos diferentes que los que tiene la CDMB, se extre del PSMV los porcentajes de carga de cada punto de la empresa, permitiendo dividir las cargas en los nuevos tramos definidos por el AMB. (Ver Hoja de Proyecciones Cargas EMPAS).</t>
  </si>
  <si>
    <t>NA</t>
  </si>
  <si>
    <t>Tramo Quebrada Iglesia</t>
  </si>
  <si>
    <t xml:space="preserve">Tramo 3 Rio de Oro </t>
  </si>
  <si>
    <t>Tramo La Iglesia  (LF-01 - LI-01)</t>
  </si>
  <si>
    <t>Tramo Suratá (SA-CM-AMB - SA-01)</t>
  </si>
  <si>
    <t>Tramo 7. Rio Suratá (SA-03 - SA-01)</t>
  </si>
  <si>
    <t>Primer Tramo Rio Frio (RF-LM-AMB - RF-P)</t>
  </si>
  <si>
    <t>Segundo Tramo Rio Frio  (RF-P - RF-1A)</t>
  </si>
  <si>
    <t xml:space="preserve">El usuario no asistió al proceso de consulta ni presento metas, por lo que serán establecidas por la AMB. Es importante resaltar que el usuario se encuentra en el primer tramo del río Frio el cual en la actualidad no cumple con los objetivos de calidad establecidos. Sin embargo, la carga aportada por este usuario es muy baja, por lo que se le establece mantener sus cargas actuales durante todo el quinquenio. </t>
  </si>
  <si>
    <t xml:space="preserve">El usuario no asistió al proceso de consulta ni presento metas, por lo que serán establecidas por la AMB. Es importante resaltar que el usuario se encuentra en el primer tramo del río Frio el cual en la actualidad no cumple con los objetivos de calidad establecidos. Sin embargo, la carga aportada por este usuario es muy baja y Ingeniero Angel Sepulveda, encargado del tema en la empresa, manifiesta via telefonica mantener las cargas reportadas en la linea base de 2013 ante la CDMB, por lo que se le establece mantener sus cargas actuales durante todo el quinquenio. </t>
  </si>
  <si>
    <t>Este usuario se retira ya que todas las descargas realizadas por esta empresa al rio Frio se encuentran en zonas Rurales por lo que no hacen parte de las jurisdicción de el AMB.</t>
  </si>
  <si>
    <t xml:space="preserve">El usuario presenta metas para las cargas de DBO5 y SST para el periodo 2015-2019. Sin embargo, se evidencia que las cargas presentadas en la autodeclaración son muy bajas con respecto a las presentadas para la línea base, sobre todo para los SST. Teniendo en cuenta el proceso realizado por la empresa, el cual no debería variar mucho y teniendo en cuenta que a la fecha la empresa no cuenta con planta de tratamiento para las aguas residuales debido a que cuenta con otras prioridades, se acepta las metas que se plantea con un amento del 1% cada año, pero como línea base se toma la autodeclarada para el año 2014.
Se sugiere a la empresa en caso de contar con variaciones significativas en sus cargas enviar al AMB un promedio ponderado de las misas con su respectivos soportes (Caracterizaciones). </t>
  </si>
  <si>
    <t>El usuario presenta propuesta de metas la cual se aprueba sin ninguna modificación, debido a que presenta coherencia y apunta al mejoramiento del cuerpo de agua receptor.</t>
  </si>
  <si>
    <t>El usuario presenta propuesta de metas la cual se aprueba sin ninguna modificación, debido a que presenta coherencia y apunta al mejoramiento del cuerpo de agua receptor. Incluso la propuesta es mejor que la presentada por el usuario en el acuerdo de la CDMB.</t>
  </si>
  <si>
    <t>RO4A-RO-02</t>
  </si>
  <si>
    <t>EMPAS S.A. (Q. La Rosita; Q. La Joya; Q. Seca; Q. La Cuyamita)</t>
  </si>
  <si>
    <t xml:space="preserve">Bucaramanga </t>
  </si>
  <si>
    <t>EMPAS S.A. (Q. Navas; Q. Chapinero; Q. La Picha; Villas de San Ignacio - Café Madrid I; Café Madrid II)</t>
  </si>
  <si>
    <t xml:space="preserve">Tramo 4 Rio de Oro </t>
  </si>
  <si>
    <t xml:space="preserve">Tramo 5 Rio de Oro </t>
  </si>
  <si>
    <t>EMPAS S.A. (Interceptor R. Oro margen derecha; Interceptor R. Oro margen izquierda; El Palenque; El Carrizal; Zona Industrial Chimitá)</t>
  </si>
  <si>
    <t>EMPAS S.A. (Provisional 1, 2, 3, 4, 5, 6)</t>
  </si>
  <si>
    <t>Las Empresa no asistió al proceso de consulta, ni presento metas. Según lo anterior las metas deberían ser extraídas de las cargas proyectadas año a año en el PSMV aprobado de EMPAS. Sin embargo, después de realizar un análisis de las mismas, se evidencio que se encuentran muy alejadas de los valores propuestos en el acuerdo realizado con la CDMB en el 2013, y considerando el proceso riguroso desarrollado con dicha corporación el AMB establece mantener las metas establecidas por las CDMB. 
Se aclara que debido a que el AMB cuenta con tramos diferentes que los que tiene la CDMB, se extrae del PSMV los porcentajes de carga de cada punto de vertimiento de la empresa, lo que permite dividir las cargas en los nuevos tramos definidos por el AMB. (Ver Hoja de Proyecciones Cargas EMPAS).</t>
  </si>
  <si>
    <t xml:space="preserve">Si </t>
  </si>
  <si>
    <t>El usuario pese a que presenta papelería para la presentación de la propuesta, no diligencia de forma clara y completa el formato de propuesta de metas para el periodo 2015-2019. Debido a esto el AMB establece las metas teniendo en cuenta las establecidas por la CDMB en el acuerdo del 2013, ya que van en pro del mejoramiento de la fuente hídrica receptora.</t>
  </si>
  <si>
    <t xml:space="preserve">El usuario pese a que presenta papelería para la presentación de la propuesta, no diligencia de forma clara y completa el formato de propuesta de metas para el periodo 2015-2019. Debido a esto el AMB establece las metas teniendo en cuenta las establecidas por la CDMB en el acuerdo del 2013, ya que si bien el tramo no cumple actualmente con los objetivos de calidad, las cargas del usuario son bajas y mantenerlas iría en pro del cuerpo de agua receptor. </t>
  </si>
  <si>
    <t xml:space="preserve">El usuario no asistió al proceso de consulta ni presento metas, por lo que serán establecidas por la AMB. Es importante resaltar que el usuario se encuentra en el cuarto tramo del río de oro, el cual en la actualidad no cumple con los objetivos de calidad establecidos. Sin embargo, la carga aportada por este usuario es muy baja, por lo que se le establece mantener sus cargas actuales durante todo el quinquenio. 
Lo anterior teniendo también en cuenta las metas establecidas en el acuerdo del CDMB. </t>
  </si>
  <si>
    <t xml:space="preserve">El usuario no asistió al proceso de consulta ni presento metas, por lo que serán establecidas por la AMB. Es importante resaltar que el usuario se encuentra en el quinto tramo del río de oro, el cual en la actualidad no cumple con los objetivos de calidad establecidos. Sin embargo, la carga aportada por este usuario es baja, por lo que se le establece mantener sus cargas actuales durante todo el quinquenio. 
Lo anterior teniendo también en cuenta las metas establecidas en el acuerdo del CDMB. </t>
  </si>
  <si>
    <t xml:space="preserve">El usuario presenta metas para las cargas de DBO5 y SST para el periodo 2015-2019. Sin embargo, se evidencia que las cargas presentadas en la autodeclaración son muy bajas con respecto a las presentadas para la linea base d ela propuesta. Teniendo en cuenta el proceso realizado por la empresa el cual no deberia variar mucho y teniendo en cuenta que a la fecha la empresa expresa a funcionarios del AMB que la baja carga autodeclarada con respecto a la linea base se debe a que se realizadon mejoramientos a la planta de tratamiento de aguas residuales existente, el AMB fija como linea base las cargas autodeclaradas por el usuario para el año 2014 y establece como meta para el periodo 2015-2019 mantener dichas cargas durante todo el quinquenio.
Se sugiere a la empresa en caso de contar con variaciones significativas en sus cargas durante el año enviar al AMB un promedio ponderado de las misas con su respectivos soportes (Caracterizaciones). </t>
  </si>
  <si>
    <t xml:space="preserve">El usuario no asistió al proceso de consulta ni presento metas, por lo que serán establecidas por la AMB. Es importante resaltar que el usuario se encuentra en el cuarto tramo del río de oro, el cual en la actualidad no cumple con los objetivos de calidad establecidos. Sin embargo, la carga aportada por el usuario no son tan significativa con respecto a otros usuarios, por lo que se le establece mantener sus cargas actuales durante todo el quinquenio. 
Lo anterior teniendo también en cuenta las metas establecidas en el acuerdo del CDMB. </t>
  </si>
  <si>
    <t xml:space="preserve">El usuario no asistió al proceso de consulta ni presento metas, por lo que serán establecidas por la AMB. Es importante resaltar que el usuario se encuentra en el tramo de la quebrada iglesias, la cual en la actualidad no cumple con los objetivos de calidad establecidos. Sin embargo, la carga aportada por este usuario es baja y en la actualidad cuenta con una planta de tratamiento para las aguas residuales con % de eficiencia del  90,79% para la DBO5 y 94,29% para los SST. Segun lo anterior el  AMB establece mantener la carga de la linea base durante todo el quinquenio. 
Lo anterior teniendo también en cuenta las metas establecidas en el acuerdo del CDMB. </t>
  </si>
  <si>
    <t xml:space="preserve">El usuario no asistió al proceso de consulta ni presento metas, por lo que serán establecidas por la AMB. Es importante resaltar que el usuario se encuentra en el tramo de la quebrada iglesias, la cual en la actualidad no cumple con los objetivos de calidad establecidos. Sin embargo, la carga aportada por este usuario es baja, por lo que se le establece mantener sus cargas actuales durante todo el quinquenio. 
Lo anterior teniendo también en cuenta las metas establecidas en el acuerdo del CDMB. </t>
  </si>
  <si>
    <t>El usuario no asistió al proceso de consulta ni presento metas, por lo que serán establecidas por la AMB. Es importante resaltar que el usuario se encuentra en el cuarto tramo del río de oro, el cual en la actualidad no cumple con los objetivos de calidad establecidos, por lo que se toman en cuenta las metas establecidas en el acuerdo del 2013 con la con la CDMB, debido a que estas van en pro del mejoramiento de la fuente de agua receptora.</t>
  </si>
  <si>
    <t xml:space="preserve">El usuario no asistió al proceso de consulta ni presento metas, por lo que serán establecidas por la AMB. Es importante resaltar que el usuario se encuentra en el tercer tramo río de oro, el cual en la actualidad no cumple con los objetivos de calidad establecidos. Sin embargo, la carga aportada por este usuario es baja y en la actualidad cuenta con una planta de tratamiento para las aguas residuales con % de eficiencia del  88,03% para la DBO5 y 82,1% para los SST. Segun lo anterior el  AMB establece mantener la carga de la linea base durante todo el quinquenio. 
Lo anterior teniendo también en cuenta las metas establecidas en el acuerdo del CDMB. </t>
  </si>
  <si>
    <t>El usuario no asistió al proceso de consulta ni presento metas, por lo que serán establecidas por la AMB. Es importante resaltar que el usuario se encuentra en el tramo de la quebrada iglesias, la cual en la actualidad no cumple con los objetivos de calidad establecidos, por lo que se toman en cuenta las metas establecidas en el acuerdo del 2013 con la con la CDMB, debido a que estas van en pro del mejoramiento de la fuente de agua receptora en cuanto a los SST y para la DBO5 el aumento no es significativo.</t>
  </si>
  <si>
    <t xml:space="preserve">El usuario no asistió al proceso de consulta ni presento metas, por lo que serán establecidas por la AMB. Es importante resaltar que el usuario se encuentra en el quinto tramo del río de oro, el cual en la actualidad no cumple con los objetivos de calidad establecidos. Sin embargo, la carga aportada por el usuario no son tan significativa con respecto a otros usuarios, por lo que se le establece mantener sus cargas actuales durante todo el quinquenio. 
Lo anterior teniendo también en cuenta las metas establecidas en el acuerdo del CDMB. </t>
  </si>
  <si>
    <t>El usuario presenta propuesta de metas la cual se aprueba sin ninguna modificación, debido a que presenta coherencia y apunta al mejoramiento del cuerpo de agua receptor. Sin embargo se invita al usuario a revisar bien las cargas y sus unidades, que se presentan en kg/año; ya que el valor registrado en la autodeclaracion y en la propuesta resulta ser valores bajos con respecto a lo registrado para el usuario en el acuerdo de 2013 con la CDMB.</t>
  </si>
  <si>
    <t>El usuario presenta propuesta de metas la cual se aprueba sin ninguna modificación, debido a que presenta coherencia y apunta al mejoramiento del cuerpo de agua receptor. Sin embargo se invita al usuario a revisar bien las cargas propuestas ya que estan estan diceñadas con una linea base que se encuentra por debajo de la autodeclarada al AMB para el 2014.</t>
  </si>
  <si>
    <t xml:space="preserve">El usuario no asistió al proceso de consulta ni presento metas, por lo que serán establecidas por la AMB. Es importante resaltar que el usuario se encuentra en el segundo tramo del río de oro, el cual en la actualidad no cumple con los objetivos de calidad establecidos. Sin embargo, cuenta con una planta de tramiento de las aguas residuales en la actualidad, por lo que se establece mantener sus cargas actuales durante todo el quinquenio teneniendo en cuenta el aumento debido al crecimiento d ela población. 
Lo anterior teniendo también en cuenta las metas establecidas en el acuerdo del CDMB. </t>
  </si>
  <si>
    <t xml:space="preserve">El usuario presenta propuesta de metas la cual se aprueba sin ninguna modificación, debido a que presenta coherencia y apunta al mejoramiento del cuerpo de agua receptor. </t>
  </si>
  <si>
    <t xml:space="preserve">El usuario no asistió al proceso de consulta ni presento metas, por lo que serán establecidas por la AMB. Es importante resaltar que el usuario se encuentra en el Tramo Quebrada Aranzoque, el cual en la actualidad no cumple con los objetivos de calidad establecidos, por lo que se establece mantener sus cargas actuales durante todo el quinquenio, lo que implica de la empresa debe realizar mejoras para no aumentar en sus cargas con respecto a su crecimiento.
Lo anterior teniendo también en cuenta las metas establecidas en el acuerdo del CDMB. </t>
  </si>
  <si>
    <t>Este usuario se retira ya que las descargas pese a que estan en una zona se proyeccion urbana se encuentran en zonas Rurales por lo que no hacen parte de las jurisdicción de el AMB.</t>
  </si>
  <si>
    <t xml:space="preserve">El usuario no asistió al proceso de consulta ni presento metas, por lo que serán establecidas por la AMB. Es importante resaltar que el usuario se encuentra en el primer tramo del río de oro, el cual en la actualidad no cumple con los objetivos de calidad establecidos. Sin embargo, la carga aportada por este usuario es baja, por lo que se le establece mantener sus cargas actuales durante todo el quinquenio. 
Lo anterior teniendo también en cuenta las metas establecidas en el acuerdo del CDMB. </t>
  </si>
  <si>
    <t xml:space="preserve">El usuario no asistió al proceso de consulta ni presento metas, por lo que serán establecidas por la AMB. Es importante resaltar que el usuario se encuentra en el  tramo de la quebrada la iglesia, la cual en la actualidad no cumple con los objetivos de calidad establecidos, por lo que se establece mantener sus cargas actuales durante todo el quinquenio, lo que implica que la empresa debe realizar mejoras para no aumentar en sus cargas con respecto a su crecimiento.
Lo anterior teniendo también en cuenta las metas establecidas en el acuerdo del CDMB. </t>
  </si>
  <si>
    <t>El usuario presenta propuesta de metas la cual se aprueba sin ninguna modificación, debido a que presenta coherencia y si bien  no apunta al mejoramiento del cuerpo de agua receptor en cuanto a los SST, este usuario en la actualidad presenta concentraciones acordes a la normativa y planea crecer frente a la condiccion actual de la empresa. 
Lo anterior teniendo también en cuenta las metas establecidas en el acuerdo del CDMB.</t>
  </si>
  <si>
    <t>El usuario presenta propuesta de metas la cual se aprueba sin ninguna modificación, debido a que presenta coherencia y si bien  no apunta al mejoramiento del cuerpo de agua receptor, este usuario en la actualidad presenta concentraciones acordes a la normativa y planea crecer de forma considerable frente a la condiccion actual de la empresa. 
Lo anterior teniendo también en cuenta las metas establecidas en el acuerdo del CDMB.</t>
  </si>
  <si>
    <t xml:space="preserve">El usuario presenta metas para las cargas de DBO5 y SST para el periodo 2015-2019. Sin embargo, se evidencia que las cargas presentadas en la autodeclaración son muy bajas con respecto a las presentadas para la línea base alta para la DBO5. Teniendo en cuenta el proceso realizado por la empresa, el cual no debería variar mucho y teniendo en cuenta que a la fecha la empresa no cuenta con planta de tratamiento para las aguas residuales debido a que cuenta con otras prioridades, se acepta las metas que se plantea con un amento del 1% cada año, pero como línea base se toma la autodeclarada para el año 2014.
Se sugiere a la empresa en caso de contar con variaciones significativas en sus cargas enviar al AMB un promedio ponderado de las misas con su respectivos soportes (Caracterizaciones). </t>
  </si>
  <si>
    <t>=</t>
  </si>
  <si>
    <t>El usuario presenta propuesta de metas la cual se aprueba sin ninguna modificación, debido la propuesta  presenta coherencia. Ademas, se tiene en cuenta que en la actualidad el usuario cuenta con dos plantas de tratamiento con eficiencias de remocion superior al 80% (PTAR 1 (DBO5 81% Y SST 80% Eficiencia) y PTAR 2 (DBO5 80% Y SST 98% Eficiencia)). 
El usuario presenta dos propuestase sus instalaciones. Sin embargo, ambas descargan a la misma fuente por lo que muestran como una unica descarga</t>
  </si>
  <si>
    <t>TOTAL TRAMO - Primer Tramo Río de Oro</t>
  </si>
  <si>
    <t>TOTAL TRAMO - Segundo Tramo Río de Oro</t>
  </si>
  <si>
    <t xml:space="preserve">TOTAL TRAMO - Tercer Tramo Río de Oro </t>
  </si>
  <si>
    <t xml:space="preserve">TOTAL TRAMO - Cuarto Tramo Río de Oro </t>
  </si>
  <si>
    <t>TOTAL TRAMO - Quinto Tramo Río de Oro</t>
  </si>
  <si>
    <t>TOTAL TRAMO - Primer Tramo Río Frio</t>
  </si>
  <si>
    <t xml:space="preserve">TOTAL TRAMO - Tramo La Iglesia </t>
  </si>
  <si>
    <t>TOTAL TRAMO - Tramo Quebrada Aranzoque</t>
  </si>
  <si>
    <t>TOTAL TRAMO - Tramo Rio Suratá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</si>
</sst>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_-&quot;$&quot;* #,##0_-;\-&quot;$&quot;* #,##0_-;_-&quot;$&quot;* &quot;-&quot;_-;_-@_-"/>
  </numFmts>
  <fonts count="17" x14ac:knownFonts="1">
    <font>
      <sz val="11"/>
      <color theme="1"/>
      <name val="Calibri"/>
      <family val="2"/>
      <scheme val="minor"/>
    </font>
    <font>
      <sz val="10"/>
      <color theme="1"/>
      <name val="Arial Narrow"/>
      <family val="2"/>
    </font>
    <font>
      <b/>
      <sz val="10"/>
      <color theme="1"/>
      <name val="Arial Narrow"/>
      <family val="2"/>
    </font>
    <font>
      <sz val="10"/>
      <color rgb="FFFF0000"/>
      <name val="Arial Narrow"/>
      <family val="2"/>
    </font>
    <font>
      <b/>
      <sz val="10"/>
      <color indexed="8"/>
      <name val="Arial Narrow"/>
      <family val="2"/>
    </font>
    <font>
      <sz val="10"/>
      <color indexed="8"/>
      <name val="Arial Narrow"/>
      <family val="2"/>
    </font>
    <font>
      <b/>
      <sz val="10"/>
      <color theme="0"/>
      <name val="Arial Narrow"/>
      <family val="2"/>
    </font>
    <font>
      <sz val="11"/>
      <color theme="1"/>
      <name val="Calibri"/>
      <family val="2"/>
      <scheme val="minor"/>
    </font>
    <font>
      <b/>
      <sz val="7"/>
      <color rgb="FF000000"/>
      <name val="Calibri"/>
    </font>
    <font>
      <b/>
      <vertAlign val="subscript"/>
      <sz val="7"/>
      <color rgb="FF000000"/>
      <name val="Calibri"/>
    </font>
    <font>
      <sz val="7"/>
      <color rgb="FF000000"/>
      <name val="Calibri"/>
    </font>
    <font>
      <b/>
      <sz val="9"/>
      <color theme="1"/>
      <name val="Arial Narrow"/>
      <family val="2"/>
    </font>
    <font>
      <sz val="9"/>
      <color theme="1"/>
      <name val="Arial Narrow"/>
      <family val="2"/>
    </font>
    <font>
      <sz val="10"/>
      <name val="Arial"/>
      <family val="2"/>
    </font>
    <font>
      <sz val="9"/>
      <name val="Arial"/>
      <family val="2"/>
    </font>
    <font>
      <b/>
      <sz val="9"/>
      <color rgb="FFFF0000"/>
      <name val="Arial Narrow"/>
      <family val="2"/>
    </font>
    <font>
      <b/>
      <sz val="9"/>
      <color rgb="FF0065CC"/>
      <name val="Arial Narrow"/>
      <family val="2"/>
    </font>
  </fonts>
  <fills count="1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1" tint="0.499984740745262"/>
        <bgColor indexed="64"/>
      </patternFill>
    </fill>
    <fill>
      <patternFill patternType="solid">
        <fgColor rgb="FFD9D9D9"/>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166" fontId="7" fillId="0" borderId="0" applyFont="0" applyFill="0" applyBorder="0" applyAlignment="0" applyProtection="0"/>
    <xf numFmtId="0" fontId="13" fillId="0" borderId="0"/>
    <xf numFmtId="0" fontId="14" fillId="0" borderId="0"/>
    <xf numFmtId="0" fontId="13" fillId="0" borderId="0"/>
    <xf numFmtId="9" fontId="7" fillId="0" borderId="0" applyFont="0" applyFill="0" applyBorder="0" applyAlignment="0" applyProtection="0"/>
  </cellStyleXfs>
  <cellXfs count="142">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vertical="center" wrapText="1"/>
    </xf>
    <xf numFmtId="0" fontId="1" fillId="0" borderId="1" xfId="0" applyFont="1" applyFill="1" applyBorder="1" applyAlignment="1">
      <alignment horizontal="left" vertical="center"/>
    </xf>
    <xf numFmtId="164" fontId="1" fillId="0" borderId="0" xfId="0" applyNumberFormat="1" applyFont="1" applyAlignment="1">
      <alignment horizontal="center" vertical="center" wrapText="1"/>
    </xf>
    <xf numFmtId="0" fontId="1" fillId="8" borderId="1" xfId="0" applyFont="1" applyFill="1" applyBorder="1" applyAlignment="1">
      <alignment vertical="center" wrapText="1"/>
    </xf>
    <xf numFmtId="2" fontId="1" fillId="0" borderId="1" xfId="0" applyNumberFormat="1" applyFont="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1" xfId="0" quotePrefix="1" applyFont="1" applyBorder="1" applyAlignment="1">
      <alignment vertical="center" wrapText="1"/>
    </xf>
    <xf numFmtId="2"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4" fontId="1" fillId="0" borderId="1" xfId="0" applyNumberFormat="1" applyFont="1" applyBorder="1" applyAlignment="1">
      <alignment vertical="center" wrapText="1"/>
    </xf>
    <xf numFmtId="4" fontId="1" fillId="0" borderId="1" xfId="0" quotePrefix="1" applyNumberFormat="1" applyFont="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2" fillId="0" borderId="0" xfId="0" applyFont="1" applyAlignment="1">
      <alignment horizontal="center" vertical="center" wrapText="1"/>
    </xf>
    <xf numFmtId="0" fontId="11" fillId="6"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left" vertical="center" wrapText="1"/>
    </xf>
    <xf numFmtId="164" fontId="1" fillId="0" borderId="1" xfId="0" applyNumberFormat="1" applyFont="1" applyBorder="1" applyAlignment="1">
      <alignment vertical="center" wrapText="1"/>
    </xf>
    <xf numFmtId="0" fontId="8" fillId="10" borderId="1" xfId="0" applyFont="1" applyFill="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2" fillId="0" borderId="0" xfId="0" applyFont="1"/>
    <xf numFmtId="0" fontId="12" fillId="0" borderId="1" xfId="0" applyFont="1" applyBorder="1" applyAlignment="1">
      <alignment horizontal="right" vertical="center" wrapText="1"/>
    </xf>
    <xf numFmtId="4" fontId="12" fillId="0" borderId="1" xfId="0" applyNumberFormat="1" applyFont="1" applyBorder="1" applyAlignment="1">
      <alignment horizontal="right" vertical="center" wrapText="1"/>
    </xf>
    <xf numFmtId="4" fontId="15" fillId="0" borderId="1" xfId="0" applyNumberFormat="1" applyFont="1" applyBorder="1" applyAlignment="1">
      <alignment horizontal="right" vertical="center" wrapText="1"/>
    </xf>
    <xf numFmtId="4" fontId="11" fillId="0" borderId="1" xfId="0" applyNumberFormat="1" applyFont="1" applyBorder="1" applyAlignment="1">
      <alignment horizontal="right" vertical="center" wrapText="1"/>
    </xf>
    <xf numFmtId="0" fontId="15" fillId="0" borderId="1" xfId="0" applyFont="1" applyBorder="1" applyAlignment="1">
      <alignment horizontal="right" vertical="center" wrapText="1"/>
    </xf>
    <xf numFmtId="4" fontId="16" fillId="0" borderId="1" xfId="0" applyNumberFormat="1" applyFont="1" applyBorder="1" applyAlignment="1">
      <alignment horizontal="right" vertical="center" wrapText="1"/>
    </xf>
    <xf numFmtId="0" fontId="12" fillId="0" borderId="0" xfId="0" applyFont="1" applyAlignment="1">
      <alignment horizontal="center"/>
    </xf>
    <xf numFmtId="0" fontId="11" fillId="2" borderId="1" xfId="0" applyFont="1" applyFill="1" applyBorder="1" applyAlignment="1">
      <alignment horizontal="center" vertical="center" wrapText="1"/>
    </xf>
    <xf numFmtId="9" fontId="12" fillId="0" borderId="1" xfId="5" applyFont="1" applyBorder="1" applyAlignment="1">
      <alignment horizontal="right" vertical="center" wrapText="1"/>
    </xf>
    <xf numFmtId="9" fontId="15" fillId="0" borderId="1" xfId="5" applyFont="1" applyBorder="1" applyAlignment="1">
      <alignment horizontal="right" vertical="center" wrapText="1"/>
    </xf>
    <xf numFmtId="9" fontId="12" fillId="0" borderId="0" xfId="5" applyFont="1"/>
    <xf numFmtId="9" fontId="11" fillId="2" borderId="1" xfId="5" applyFont="1" applyFill="1" applyBorder="1" applyAlignment="1">
      <alignment horizontal="center" vertical="center" wrapText="1"/>
    </xf>
    <xf numFmtId="9" fontId="11" fillId="0" borderId="1" xfId="5" applyFont="1" applyBorder="1" applyAlignment="1">
      <alignment horizontal="right" vertical="center" wrapText="1"/>
    </xf>
    <xf numFmtId="9" fontId="16" fillId="0" borderId="1" xfId="5" applyFont="1" applyBorder="1" applyAlignment="1">
      <alignment horizontal="right" vertical="center" wrapText="1"/>
    </xf>
    <xf numFmtId="0" fontId="16" fillId="0" borderId="1" xfId="0" applyFont="1" applyBorder="1" applyAlignment="1">
      <alignment horizontal="right" vertical="center" wrapText="1"/>
    </xf>
    <xf numFmtId="0" fontId="12" fillId="3" borderId="1" xfId="0" applyFont="1" applyFill="1" applyBorder="1" applyAlignment="1">
      <alignment horizontal="right" vertical="center" wrapText="1"/>
    </xf>
    <xf numFmtId="0" fontId="10" fillId="0" borderId="1" xfId="0" applyFont="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0" fillId="11" borderId="1" xfId="0" applyFont="1" applyFill="1" applyBorder="1" applyAlignment="1">
      <alignment horizontal="center" vertical="center" wrapText="1" readingOrder="1"/>
    </xf>
    <xf numFmtId="0" fontId="11" fillId="2" borderId="1" xfId="0" applyFont="1" applyFill="1" applyBorder="1" applyAlignment="1">
      <alignment horizontal="center" vertical="center" wrapText="1"/>
    </xf>
    <xf numFmtId="0" fontId="11" fillId="0" borderId="1" xfId="0" applyFont="1" applyBorder="1" applyAlignment="1">
      <alignment horizontal="right" vertical="center" wrapText="1"/>
    </xf>
    <xf numFmtId="0" fontId="1" fillId="7" borderId="1" xfId="0" applyFont="1" applyFill="1" applyBorder="1" applyAlignment="1">
      <alignment vertical="center" wrapText="1"/>
    </xf>
    <xf numFmtId="2" fontId="1" fillId="0" borderId="1" xfId="0" applyNumberFormat="1" applyFont="1" applyBorder="1" applyAlignment="1">
      <alignment vertical="center" wrapText="1"/>
    </xf>
    <xf numFmtId="0" fontId="1" fillId="6" borderId="1" xfId="0" applyFont="1" applyFill="1" applyBorder="1" applyAlignment="1">
      <alignment vertical="center" wrapText="1"/>
    </xf>
    <xf numFmtId="4" fontId="1" fillId="0" borderId="0" xfId="0" applyNumberFormat="1" applyFont="1" applyFill="1" applyAlignment="1">
      <alignment horizontal="center" vertical="center"/>
    </xf>
    <xf numFmtId="0" fontId="1" fillId="2" borderId="1" xfId="0"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3" fontId="1" fillId="0" borderId="1" xfId="0" applyNumberFormat="1" applyFont="1" applyBorder="1" applyAlignment="1">
      <alignment vertical="center" wrapText="1"/>
    </xf>
    <xf numFmtId="4"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165" fontId="1" fillId="0" borderId="1" xfId="0" applyNumberFormat="1" applyFont="1" applyFill="1" applyBorder="1" applyAlignment="1">
      <alignment horizontal="center" vertical="center" wrapText="1"/>
    </xf>
    <xf numFmtId="0" fontId="1" fillId="0" borderId="1" xfId="0" quotePrefix="1" applyFont="1" applyFill="1" applyBorder="1" applyAlignment="1">
      <alignment vertical="center" wrapText="1"/>
    </xf>
    <xf numFmtId="4" fontId="1" fillId="0" borderId="1" xfId="0" applyNumberFormat="1" applyFont="1" applyFill="1" applyBorder="1" applyAlignment="1">
      <alignment vertical="center" wrapText="1"/>
    </xf>
    <xf numFmtId="4" fontId="1" fillId="0" borderId="1" xfId="0" quotePrefix="1" applyNumberFormat="1" applyFont="1" applyFill="1" applyBorder="1" applyAlignment="1">
      <alignment vertical="center" wrapText="1"/>
    </xf>
    <xf numFmtId="165" fontId="1" fillId="0" borderId="1" xfId="0" applyNumberFormat="1" applyFont="1" applyBorder="1" applyAlignment="1">
      <alignment horizontal="center" vertical="center" wrapText="1"/>
    </xf>
    <xf numFmtId="0" fontId="1" fillId="0" borderId="1" xfId="0" quotePrefix="1" applyFont="1" applyFill="1" applyBorder="1" applyAlignment="1">
      <alignment horizontal="center" vertical="center" wrapText="1"/>
    </xf>
    <xf numFmtId="3" fontId="1" fillId="0" borderId="1" xfId="0" quotePrefix="1" applyNumberFormat="1" applyFont="1" applyBorder="1" applyAlignment="1">
      <alignment vertical="center" wrapText="1"/>
    </xf>
    <xf numFmtId="0" fontId="1" fillId="0" borderId="1" xfId="0" applyFont="1" applyFill="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quotePrefix="1" applyFont="1" applyBorder="1" applyAlignment="1">
      <alignment horizontal="center" vertical="center"/>
    </xf>
    <xf numFmtId="0" fontId="1" fillId="0" borderId="1" xfId="0" quotePrefix="1" applyFont="1" applyBorder="1" applyAlignment="1">
      <alignment vertical="center"/>
    </xf>
    <xf numFmtId="0" fontId="1" fillId="0" borderId="0" xfId="0" applyFont="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4"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quotePrefix="1" applyFont="1" applyBorder="1" applyAlignment="1">
      <alignment vertical="center"/>
    </xf>
    <xf numFmtId="0" fontId="2" fillId="0" borderId="0" xfId="0" applyFont="1" applyAlignment="1">
      <alignment vertical="center" wrapText="1"/>
    </xf>
    <xf numFmtId="3" fontId="2" fillId="4" borderId="10" xfId="0" applyNumberFormat="1" applyFont="1" applyFill="1" applyBorder="1" applyAlignment="1">
      <alignment vertical="center" wrapText="1"/>
    </xf>
    <xf numFmtId="3" fontId="2" fillId="4" borderId="8" xfId="0" applyNumberFormat="1" applyFont="1" applyFill="1" applyBorder="1" applyAlignment="1">
      <alignment vertical="center" wrapText="1"/>
    </xf>
    <xf numFmtId="0" fontId="2" fillId="11" borderId="1" xfId="0" applyFont="1" applyFill="1" applyBorder="1" applyAlignment="1">
      <alignment vertical="center" wrapText="1"/>
    </xf>
    <xf numFmtId="4" fontId="2" fillId="11" borderId="1" xfId="0" applyNumberFormat="1" applyFont="1" applyFill="1" applyBorder="1" applyAlignment="1">
      <alignment horizontal="center" vertical="center"/>
    </xf>
    <xf numFmtId="0" fontId="2" fillId="11" borderId="1" xfId="0" quotePrefix="1" applyFont="1" applyFill="1" applyBorder="1" applyAlignment="1">
      <alignment vertical="center"/>
    </xf>
    <xf numFmtId="3" fontId="2" fillId="0" borderId="1" xfId="0" applyNumberFormat="1" applyFont="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left" vertical="center" wrapText="1"/>
    </xf>
    <xf numFmtId="0" fontId="10" fillId="0" borderId="2" xfId="0" applyFont="1" applyBorder="1" applyAlignment="1">
      <alignment horizontal="center" vertical="center" wrapText="1" readingOrder="1"/>
    </xf>
    <xf numFmtId="0" fontId="10" fillId="0" borderId="3" xfId="0" applyFont="1" applyBorder="1" applyAlignment="1">
      <alignment horizontal="center" vertical="center" wrapText="1" readingOrder="1"/>
    </xf>
    <xf numFmtId="0" fontId="10" fillId="0" borderId="1" xfId="0" applyFont="1" applyBorder="1" applyAlignment="1">
      <alignment horizontal="center" vertical="center" wrapText="1" readingOrder="1"/>
    </xf>
    <xf numFmtId="0" fontId="8" fillId="10" borderId="1" xfId="0" applyFont="1" applyFill="1" applyBorder="1" applyAlignment="1">
      <alignment horizontal="center" vertical="center" wrapText="1" readingOrder="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1" xfId="0" applyFont="1" applyBorder="1"/>
    <xf numFmtId="0" fontId="2" fillId="9" borderId="1" xfId="0" applyFont="1" applyFill="1" applyBorder="1" applyAlignment="1">
      <alignment horizontal="center" vertical="center" wrapText="1"/>
    </xf>
    <xf numFmtId="0" fontId="15" fillId="0" borderId="1" xfId="0" applyFont="1" applyBorder="1" applyAlignment="1">
      <alignment horizontal="right" vertical="center" wrapText="1"/>
    </xf>
    <xf numFmtId="0" fontId="16" fillId="0" borderId="1" xfId="0" applyFont="1" applyBorder="1" applyAlignment="1">
      <alignment horizontal="righ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right" vertical="center" wrapText="1"/>
    </xf>
  </cellXfs>
  <cellStyles count="6">
    <cellStyle name="Moneda [0] 2" xfId="1"/>
    <cellStyle name="Normal" xfId="0" builtinId="0"/>
    <cellStyle name="Normal 2" xfId="2"/>
    <cellStyle name="Normal 3" xfId="3"/>
    <cellStyle name="Normal 4" xfId="4"/>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U50"/>
  <sheetViews>
    <sheetView zoomScale="80" zoomScaleNormal="80" workbookViewId="0">
      <pane xSplit="2" ySplit="6" topLeftCell="E7" activePane="bottomRight" state="frozen"/>
      <selection pane="topRight" activeCell="C1" sqref="C1"/>
      <selection pane="bottomLeft" activeCell="A6" sqref="A6"/>
      <selection pane="bottomRight" activeCell="N52" sqref="N52"/>
    </sheetView>
  </sheetViews>
  <sheetFormatPr baseColWidth="10" defaultColWidth="11.44140625" defaultRowHeight="13.8" x14ac:dyDescent="0.3"/>
  <cols>
    <col min="1" max="1" width="2.33203125" style="2" customWidth="1"/>
    <col min="2" max="2" width="49.109375" style="2" customWidth="1"/>
    <col min="3" max="21" width="10.6640625" style="28" customWidth="1"/>
    <col min="22" max="16384" width="11.44140625" style="2"/>
  </cols>
  <sheetData>
    <row r="3" spans="2:21" ht="12.75" customHeight="1" x14ac:dyDescent="0.3">
      <c r="B3" s="106" t="s">
        <v>143</v>
      </c>
      <c r="C3" s="106"/>
      <c r="D3" s="106"/>
      <c r="E3" s="106"/>
      <c r="F3" s="106"/>
      <c r="G3" s="106"/>
      <c r="H3" s="106"/>
      <c r="I3" s="106"/>
      <c r="J3" s="106"/>
      <c r="K3" s="106"/>
      <c r="L3" s="106"/>
      <c r="M3" s="106"/>
      <c r="N3" s="106"/>
      <c r="O3" s="106"/>
      <c r="P3" s="106"/>
      <c r="Q3" s="100"/>
      <c r="R3" s="100"/>
      <c r="S3" s="100"/>
      <c r="T3" s="100"/>
      <c r="U3" s="101"/>
    </row>
    <row r="4" spans="2:21" ht="20.25" customHeight="1" x14ac:dyDescent="0.3">
      <c r="B4" s="107" t="s">
        <v>4</v>
      </c>
      <c r="C4" s="108" t="s">
        <v>144</v>
      </c>
      <c r="D4" s="108"/>
      <c r="E4" s="108" t="s">
        <v>145</v>
      </c>
      <c r="F4" s="108"/>
      <c r="G4" s="108" t="s">
        <v>146</v>
      </c>
      <c r="H4" s="108"/>
      <c r="I4" s="108"/>
      <c r="J4" s="108"/>
      <c r="K4" s="108"/>
      <c r="L4" s="108"/>
      <c r="M4" s="108"/>
      <c r="N4" s="108"/>
      <c r="O4" s="108"/>
      <c r="P4" s="108"/>
      <c r="Q4" s="105" t="s">
        <v>147</v>
      </c>
      <c r="R4" s="105"/>
      <c r="S4" s="105"/>
      <c r="T4" s="105"/>
      <c r="U4" s="105"/>
    </row>
    <row r="5" spans="2:21" ht="18" customHeight="1" x14ac:dyDescent="0.3">
      <c r="B5" s="107"/>
      <c r="C5" s="108"/>
      <c r="D5" s="108"/>
      <c r="E5" s="108"/>
      <c r="F5" s="108"/>
      <c r="G5" s="105" t="s">
        <v>0</v>
      </c>
      <c r="H5" s="105"/>
      <c r="I5" s="105"/>
      <c r="J5" s="105"/>
      <c r="K5" s="105"/>
      <c r="L5" s="105" t="s">
        <v>1</v>
      </c>
      <c r="M5" s="105"/>
      <c r="N5" s="105"/>
      <c r="O5" s="105"/>
      <c r="P5" s="105"/>
      <c r="Q5" s="105"/>
      <c r="R5" s="105"/>
      <c r="S5" s="105"/>
      <c r="T5" s="105"/>
      <c r="U5" s="105"/>
    </row>
    <row r="6" spans="2:21" ht="48" customHeight="1" x14ac:dyDescent="0.3">
      <c r="B6" s="107"/>
      <c r="C6" s="95" t="s">
        <v>0</v>
      </c>
      <c r="D6" s="95" t="s">
        <v>1</v>
      </c>
      <c r="E6" s="95" t="s">
        <v>0</v>
      </c>
      <c r="F6" s="95" t="s">
        <v>1</v>
      </c>
      <c r="G6" s="95">
        <v>2015</v>
      </c>
      <c r="H6" s="95">
        <v>2016</v>
      </c>
      <c r="I6" s="95">
        <v>2017</v>
      </c>
      <c r="J6" s="95">
        <v>2018</v>
      </c>
      <c r="K6" s="95">
        <v>2019</v>
      </c>
      <c r="L6" s="95">
        <v>2015</v>
      </c>
      <c r="M6" s="95">
        <v>2016</v>
      </c>
      <c r="N6" s="95">
        <v>2017</v>
      </c>
      <c r="O6" s="95">
        <v>2018</v>
      </c>
      <c r="P6" s="95">
        <v>2019</v>
      </c>
      <c r="Q6" s="95">
        <v>2014</v>
      </c>
      <c r="R6" s="95">
        <v>2015</v>
      </c>
      <c r="S6" s="95">
        <v>2016</v>
      </c>
      <c r="T6" s="95">
        <v>2017</v>
      </c>
      <c r="U6" s="95">
        <v>2018</v>
      </c>
    </row>
    <row r="7" spans="2:21" ht="12.75" x14ac:dyDescent="0.25">
      <c r="B7" s="3" t="s">
        <v>8</v>
      </c>
      <c r="C7" s="18">
        <v>1380360</v>
      </c>
      <c r="D7" s="18">
        <v>928500</v>
      </c>
      <c r="E7" s="71">
        <v>271962</v>
      </c>
      <c r="F7" s="18">
        <v>291388</v>
      </c>
      <c r="G7" s="18">
        <v>1558677.8</v>
      </c>
      <c r="H7" s="18">
        <v>1726225.5</v>
      </c>
      <c r="I7" s="18">
        <v>1238596.7</v>
      </c>
      <c r="J7" s="18">
        <v>906538.8</v>
      </c>
      <c r="K7" s="18">
        <v>271962</v>
      </c>
      <c r="L7" s="18">
        <v>1670011</v>
      </c>
      <c r="M7" s="18">
        <v>1849525</v>
      </c>
      <c r="N7" s="18">
        <v>971291.6</v>
      </c>
      <c r="O7" s="18">
        <v>327067.90000000002</v>
      </c>
      <c r="P7" s="18">
        <v>291388</v>
      </c>
      <c r="Q7" s="15">
        <v>0</v>
      </c>
      <c r="R7" s="15">
        <v>0</v>
      </c>
      <c r="S7" s="15">
        <v>0</v>
      </c>
      <c r="T7" s="15">
        <v>0</v>
      </c>
      <c r="U7" s="15">
        <v>0</v>
      </c>
    </row>
    <row r="8" spans="2:21" ht="12.75" x14ac:dyDescent="0.25">
      <c r="B8" s="87" t="s">
        <v>14</v>
      </c>
      <c r="C8" s="88">
        <v>320</v>
      </c>
      <c r="D8" s="88">
        <v>340</v>
      </c>
      <c r="E8" s="88">
        <v>320</v>
      </c>
      <c r="F8" s="88">
        <v>340</v>
      </c>
      <c r="G8" s="88">
        <v>320</v>
      </c>
      <c r="H8" s="88">
        <v>320</v>
      </c>
      <c r="I8" s="88">
        <v>320</v>
      </c>
      <c r="J8" s="88">
        <v>320</v>
      </c>
      <c r="K8" s="88">
        <v>320</v>
      </c>
      <c r="L8" s="88">
        <v>340</v>
      </c>
      <c r="M8" s="88">
        <v>340</v>
      </c>
      <c r="N8" s="88">
        <v>340</v>
      </c>
      <c r="O8" s="88">
        <v>340</v>
      </c>
      <c r="P8" s="88">
        <v>340</v>
      </c>
      <c r="Q8" s="91" t="s">
        <v>166</v>
      </c>
      <c r="R8" s="91" t="s">
        <v>166</v>
      </c>
      <c r="S8" s="91" t="s">
        <v>166</v>
      </c>
      <c r="T8" s="91" t="s">
        <v>166</v>
      </c>
      <c r="U8" s="91" t="s">
        <v>166</v>
      </c>
    </row>
    <row r="9" spans="2:21" s="99" customFormat="1" x14ac:dyDescent="0.3">
      <c r="B9" s="102" t="s">
        <v>337</v>
      </c>
      <c r="C9" s="103">
        <f>SUM(C7:C8)</f>
        <v>1380680</v>
      </c>
      <c r="D9" s="103">
        <f t="shared" ref="D9:P9" si="0">SUM(D7:D8)</f>
        <v>928840</v>
      </c>
      <c r="E9" s="103">
        <f t="shared" si="0"/>
        <v>272282</v>
      </c>
      <c r="F9" s="103">
        <f t="shared" si="0"/>
        <v>291728</v>
      </c>
      <c r="G9" s="103">
        <f t="shared" si="0"/>
        <v>1558997.8</v>
      </c>
      <c r="H9" s="103">
        <f t="shared" si="0"/>
        <v>1726545.5</v>
      </c>
      <c r="I9" s="103">
        <f t="shared" si="0"/>
        <v>1238916.7</v>
      </c>
      <c r="J9" s="103">
        <f t="shared" si="0"/>
        <v>906858.8</v>
      </c>
      <c r="K9" s="103">
        <f t="shared" si="0"/>
        <v>272282</v>
      </c>
      <c r="L9" s="103">
        <f t="shared" si="0"/>
        <v>1670351</v>
      </c>
      <c r="M9" s="103">
        <f t="shared" si="0"/>
        <v>1849865</v>
      </c>
      <c r="N9" s="103">
        <f t="shared" si="0"/>
        <v>971631.6</v>
      </c>
      <c r="O9" s="103">
        <f t="shared" si="0"/>
        <v>327407.90000000002</v>
      </c>
      <c r="P9" s="103">
        <f t="shared" si="0"/>
        <v>291728</v>
      </c>
      <c r="Q9" s="104" t="s">
        <v>166</v>
      </c>
      <c r="R9" s="104" t="s">
        <v>166</v>
      </c>
      <c r="S9" s="104" t="s">
        <v>166</v>
      </c>
      <c r="T9" s="104" t="s">
        <v>166</v>
      </c>
      <c r="U9" s="104" t="s">
        <v>166</v>
      </c>
    </row>
    <row r="10" spans="2:21" ht="12.75" x14ac:dyDescent="0.25">
      <c r="B10" s="3" t="s">
        <v>136</v>
      </c>
      <c r="C10" s="18">
        <v>103680</v>
      </c>
      <c r="D10" s="18">
        <v>129600</v>
      </c>
      <c r="E10" s="18">
        <v>114471</v>
      </c>
      <c r="F10" s="18">
        <v>143089</v>
      </c>
      <c r="G10" s="18">
        <v>103680</v>
      </c>
      <c r="H10" s="18">
        <v>103680</v>
      </c>
      <c r="I10" s="18">
        <v>103680</v>
      </c>
      <c r="J10" s="18">
        <v>103680</v>
      </c>
      <c r="K10" s="18">
        <v>114471</v>
      </c>
      <c r="L10" s="18">
        <v>129600</v>
      </c>
      <c r="M10" s="18">
        <v>129600</v>
      </c>
      <c r="N10" s="18">
        <v>129600</v>
      </c>
      <c r="O10" s="18">
        <v>129600</v>
      </c>
      <c r="P10" s="18">
        <v>143089</v>
      </c>
      <c r="Q10" s="86">
        <v>0</v>
      </c>
      <c r="R10" s="86">
        <v>0</v>
      </c>
      <c r="S10" s="86">
        <v>0</v>
      </c>
      <c r="T10" s="86">
        <v>0</v>
      </c>
      <c r="U10" s="86">
        <v>0</v>
      </c>
    </row>
    <row r="11" spans="2:21" s="99" customFormat="1" x14ac:dyDescent="0.3">
      <c r="B11" s="97" t="s">
        <v>338</v>
      </c>
      <c r="C11" s="96">
        <f>SUM(C10)</f>
        <v>103680</v>
      </c>
      <c r="D11" s="96">
        <f t="shared" ref="D11:P11" si="1">SUM(D10)</f>
        <v>129600</v>
      </c>
      <c r="E11" s="96">
        <f t="shared" si="1"/>
        <v>114471</v>
      </c>
      <c r="F11" s="96">
        <f t="shared" si="1"/>
        <v>143089</v>
      </c>
      <c r="G11" s="96">
        <f t="shared" si="1"/>
        <v>103680</v>
      </c>
      <c r="H11" s="96">
        <f t="shared" si="1"/>
        <v>103680</v>
      </c>
      <c r="I11" s="96">
        <f t="shared" si="1"/>
        <v>103680</v>
      </c>
      <c r="J11" s="96">
        <f t="shared" si="1"/>
        <v>103680</v>
      </c>
      <c r="K11" s="96">
        <f t="shared" si="1"/>
        <v>114471</v>
      </c>
      <c r="L11" s="96">
        <f t="shared" si="1"/>
        <v>129600</v>
      </c>
      <c r="M11" s="96">
        <f t="shared" si="1"/>
        <v>129600</v>
      </c>
      <c r="N11" s="96">
        <f t="shared" si="1"/>
        <v>129600</v>
      </c>
      <c r="O11" s="96">
        <f t="shared" si="1"/>
        <v>129600</v>
      </c>
      <c r="P11" s="96">
        <f t="shared" si="1"/>
        <v>143089</v>
      </c>
      <c r="Q11" s="98" t="s">
        <v>166</v>
      </c>
      <c r="R11" s="98" t="s">
        <v>166</v>
      </c>
      <c r="S11" s="98" t="s">
        <v>166</v>
      </c>
      <c r="T11" s="98" t="s">
        <v>166</v>
      </c>
      <c r="U11" s="98" t="s">
        <v>166</v>
      </c>
    </row>
    <row r="12" spans="2:21" ht="12.75" x14ac:dyDescent="0.25">
      <c r="B12" s="3" t="s">
        <v>59</v>
      </c>
      <c r="C12" s="18">
        <v>70</v>
      </c>
      <c r="D12" s="18">
        <v>30</v>
      </c>
      <c r="E12" s="18">
        <v>70</v>
      </c>
      <c r="F12" s="18">
        <v>30</v>
      </c>
      <c r="G12" s="18">
        <v>70</v>
      </c>
      <c r="H12" s="18">
        <v>70</v>
      </c>
      <c r="I12" s="18">
        <v>70</v>
      </c>
      <c r="J12" s="18">
        <v>70</v>
      </c>
      <c r="K12" s="18">
        <v>70</v>
      </c>
      <c r="L12" s="18">
        <v>30</v>
      </c>
      <c r="M12" s="18">
        <v>30</v>
      </c>
      <c r="N12" s="18">
        <v>30</v>
      </c>
      <c r="O12" s="18">
        <v>30</v>
      </c>
      <c r="P12" s="18">
        <v>30</v>
      </c>
      <c r="Q12" s="19" t="s">
        <v>167</v>
      </c>
      <c r="R12" s="19" t="s">
        <v>167</v>
      </c>
      <c r="S12" s="19" t="s">
        <v>167</v>
      </c>
      <c r="T12" s="19" t="s">
        <v>167</v>
      </c>
      <c r="U12" s="19" t="s">
        <v>167</v>
      </c>
    </row>
    <row r="13" spans="2:21" ht="12.75" x14ac:dyDescent="0.25">
      <c r="B13" s="3" t="s">
        <v>72</v>
      </c>
      <c r="C13" s="18">
        <v>1595.1</v>
      </c>
      <c r="D13" s="18">
        <v>5288.9</v>
      </c>
      <c r="E13" s="78">
        <v>1116.5999999999999</v>
      </c>
      <c r="F13" s="18">
        <v>3702.2</v>
      </c>
      <c r="G13" s="18">
        <v>1595.1</v>
      </c>
      <c r="H13" s="18">
        <v>1595.1</v>
      </c>
      <c r="I13" s="18">
        <v>1595.1</v>
      </c>
      <c r="J13" s="18">
        <v>1355.8</v>
      </c>
      <c r="K13" s="18">
        <v>1116.5999999999999</v>
      </c>
      <c r="L13" s="18">
        <v>5288.9</v>
      </c>
      <c r="M13" s="18">
        <v>5288.9</v>
      </c>
      <c r="N13" s="18">
        <v>5288.9</v>
      </c>
      <c r="O13" s="18">
        <v>4495</v>
      </c>
      <c r="P13" s="18">
        <v>3702.2</v>
      </c>
      <c r="Q13" s="15" t="s">
        <v>166</v>
      </c>
      <c r="R13" s="15" t="s">
        <v>166</v>
      </c>
      <c r="S13" s="15" t="s">
        <v>166</v>
      </c>
      <c r="T13" s="15" t="s">
        <v>166</v>
      </c>
      <c r="U13" s="15" t="s">
        <v>166</v>
      </c>
    </row>
    <row r="14" spans="2:21" ht="41.4" x14ac:dyDescent="0.3">
      <c r="B14" s="7" t="s">
        <v>308</v>
      </c>
      <c r="C14" s="18">
        <v>1380848.7</v>
      </c>
      <c r="D14" s="18">
        <v>810920</v>
      </c>
      <c r="E14" s="18">
        <v>1415716.7</v>
      </c>
      <c r="F14" s="18">
        <v>831396</v>
      </c>
      <c r="G14" s="18">
        <v>1380848.7</v>
      </c>
      <c r="H14" s="18">
        <v>1415716.7</v>
      </c>
      <c r="I14" s="18">
        <v>1415716.7</v>
      </c>
      <c r="J14" s="18">
        <v>1415716.7</v>
      </c>
      <c r="K14" s="18">
        <v>1415716.7</v>
      </c>
      <c r="L14" s="18">
        <v>810920</v>
      </c>
      <c r="M14" s="18">
        <v>831396</v>
      </c>
      <c r="N14" s="18">
        <v>831396</v>
      </c>
      <c r="O14" s="18">
        <v>831396</v>
      </c>
      <c r="P14" s="18">
        <v>831396</v>
      </c>
      <c r="Q14" s="74">
        <v>0</v>
      </c>
      <c r="R14" s="74">
        <v>0</v>
      </c>
      <c r="S14" s="74">
        <v>0</v>
      </c>
      <c r="T14" s="74">
        <v>0</v>
      </c>
      <c r="U14" s="74">
        <v>1</v>
      </c>
    </row>
    <row r="15" spans="2:21" s="99" customFormat="1" x14ac:dyDescent="0.3">
      <c r="B15" s="102" t="s">
        <v>339</v>
      </c>
      <c r="C15" s="103">
        <f>SUM(C12:C14)</f>
        <v>1382513.8</v>
      </c>
      <c r="D15" s="103">
        <f t="shared" ref="D15:P15" si="2">SUM(D12:D14)</f>
        <v>816238.9</v>
      </c>
      <c r="E15" s="103">
        <f t="shared" si="2"/>
        <v>1416903.3</v>
      </c>
      <c r="F15" s="103">
        <f t="shared" si="2"/>
        <v>835128.2</v>
      </c>
      <c r="G15" s="103">
        <f t="shared" si="2"/>
        <v>1382513.8</v>
      </c>
      <c r="H15" s="103">
        <f t="shared" si="2"/>
        <v>1417381.8</v>
      </c>
      <c r="I15" s="103">
        <f t="shared" si="2"/>
        <v>1417381.8</v>
      </c>
      <c r="J15" s="103">
        <f t="shared" si="2"/>
        <v>1417142.5</v>
      </c>
      <c r="K15" s="103">
        <f t="shared" si="2"/>
        <v>1416903.3</v>
      </c>
      <c r="L15" s="103">
        <f t="shared" si="2"/>
        <v>816238.9</v>
      </c>
      <c r="M15" s="103">
        <f t="shared" si="2"/>
        <v>836714.9</v>
      </c>
      <c r="N15" s="103">
        <f t="shared" si="2"/>
        <v>836714.9</v>
      </c>
      <c r="O15" s="103">
        <f t="shared" si="2"/>
        <v>835921</v>
      </c>
      <c r="P15" s="103">
        <f t="shared" si="2"/>
        <v>835128.2</v>
      </c>
      <c r="Q15" s="104" t="s">
        <v>166</v>
      </c>
      <c r="R15" s="104" t="s">
        <v>166</v>
      </c>
      <c r="S15" s="104" t="s">
        <v>166</v>
      </c>
      <c r="T15" s="104" t="s">
        <v>166</v>
      </c>
      <c r="U15" s="104" t="s">
        <v>166</v>
      </c>
    </row>
    <row r="16" spans="2:21" ht="12.75" x14ac:dyDescent="0.25">
      <c r="B16" s="7" t="s">
        <v>26</v>
      </c>
      <c r="C16" s="18">
        <v>15170</v>
      </c>
      <c r="D16" s="18">
        <v>3580</v>
      </c>
      <c r="E16" s="78">
        <v>37063</v>
      </c>
      <c r="F16" s="18">
        <v>8747</v>
      </c>
      <c r="G16" s="18">
        <v>20961</v>
      </c>
      <c r="H16" s="18">
        <v>31516</v>
      </c>
      <c r="I16" s="18">
        <v>30886</v>
      </c>
      <c r="J16" s="18">
        <v>37063</v>
      </c>
      <c r="K16" s="18">
        <v>37063</v>
      </c>
      <c r="L16" s="18">
        <v>4947</v>
      </c>
      <c r="M16" s="18">
        <v>7438</v>
      </c>
      <c r="N16" s="18">
        <v>7289</v>
      </c>
      <c r="O16" s="18">
        <v>8747</v>
      </c>
      <c r="P16" s="18">
        <v>8747</v>
      </c>
      <c r="Q16" s="15" t="s">
        <v>166</v>
      </c>
      <c r="R16" s="15" t="s">
        <v>166</v>
      </c>
      <c r="S16" s="15" t="s">
        <v>166</v>
      </c>
      <c r="T16" s="15" t="s">
        <v>166</v>
      </c>
      <c r="U16" s="15" t="s">
        <v>166</v>
      </c>
    </row>
    <row r="17" spans="2:21" ht="12.75" x14ac:dyDescent="0.25">
      <c r="B17" s="3" t="s">
        <v>31</v>
      </c>
      <c r="C17" s="3">
        <v>200</v>
      </c>
      <c r="D17" s="3">
        <v>110</v>
      </c>
      <c r="E17" s="3">
        <v>200</v>
      </c>
      <c r="F17" s="3">
        <v>110</v>
      </c>
      <c r="G17" s="3">
        <v>200</v>
      </c>
      <c r="H17" s="3">
        <v>200</v>
      </c>
      <c r="I17" s="3">
        <v>200</v>
      </c>
      <c r="J17" s="3">
        <v>200</v>
      </c>
      <c r="K17" s="3">
        <v>200</v>
      </c>
      <c r="L17" s="3">
        <v>110</v>
      </c>
      <c r="M17" s="3">
        <v>110</v>
      </c>
      <c r="N17" s="3">
        <v>110</v>
      </c>
      <c r="O17" s="3">
        <v>110</v>
      </c>
      <c r="P17" s="3">
        <v>110</v>
      </c>
      <c r="Q17" s="15" t="s">
        <v>166</v>
      </c>
      <c r="R17" s="15" t="s">
        <v>166</v>
      </c>
      <c r="S17" s="15" t="s">
        <v>166</v>
      </c>
      <c r="T17" s="15" t="s">
        <v>166</v>
      </c>
      <c r="U17" s="15" t="s">
        <v>166</v>
      </c>
    </row>
    <row r="18" spans="2:21" ht="12.75" x14ac:dyDescent="0.25">
      <c r="B18" s="7" t="s">
        <v>35</v>
      </c>
      <c r="C18" s="18">
        <v>19584.920000000002</v>
      </c>
      <c r="D18" s="18">
        <v>5964.54</v>
      </c>
      <c r="E18" s="71">
        <v>23697.760000000002</v>
      </c>
      <c r="F18" s="18">
        <v>7217.09</v>
      </c>
      <c r="G18" s="18">
        <v>19584.920000000002</v>
      </c>
      <c r="H18" s="18">
        <v>21543.919999999998</v>
      </c>
      <c r="I18" s="18">
        <v>21543.919999999998</v>
      </c>
      <c r="J18" s="18">
        <v>23697.760000000002</v>
      </c>
      <c r="K18" s="18">
        <v>23697.760000000002</v>
      </c>
      <c r="L18" s="18">
        <v>5964.54</v>
      </c>
      <c r="M18" s="18">
        <v>6561</v>
      </c>
      <c r="N18" s="18">
        <v>6561</v>
      </c>
      <c r="O18" s="18">
        <v>7217.09</v>
      </c>
      <c r="P18" s="18">
        <v>7217.09</v>
      </c>
      <c r="Q18" s="15" t="s">
        <v>166</v>
      </c>
      <c r="R18" s="15" t="s">
        <v>166</v>
      </c>
      <c r="S18" s="15" t="s">
        <v>166</v>
      </c>
      <c r="T18" s="15" t="s">
        <v>166</v>
      </c>
      <c r="U18" s="15" t="s">
        <v>166</v>
      </c>
    </row>
    <row r="19" spans="2:21" ht="12.75" x14ac:dyDescent="0.25">
      <c r="B19" s="3" t="s">
        <v>38</v>
      </c>
      <c r="C19" s="3">
        <v>1950</v>
      </c>
      <c r="D19" s="3">
        <v>340</v>
      </c>
      <c r="E19" s="3">
        <v>1950</v>
      </c>
      <c r="F19" s="3">
        <v>340</v>
      </c>
      <c r="G19" s="3">
        <v>1950</v>
      </c>
      <c r="H19" s="3">
        <v>1950</v>
      </c>
      <c r="I19" s="3">
        <v>1950</v>
      </c>
      <c r="J19" s="3">
        <v>1950</v>
      </c>
      <c r="K19" s="3">
        <v>1950</v>
      </c>
      <c r="L19" s="3">
        <v>340</v>
      </c>
      <c r="M19" s="3">
        <v>340</v>
      </c>
      <c r="N19" s="3">
        <v>340</v>
      </c>
      <c r="O19" s="3">
        <v>340</v>
      </c>
      <c r="P19" s="3">
        <v>340</v>
      </c>
      <c r="Q19" s="15" t="s">
        <v>166</v>
      </c>
      <c r="R19" s="15" t="s">
        <v>166</v>
      </c>
      <c r="S19" s="15" t="s">
        <v>166</v>
      </c>
      <c r="T19" s="15" t="s">
        <v>166</v>
      </c>
      <c r="U19" s="15" t="s">
        <v>166</v>
      </c>
    </row>
    <row r="20" spans="2:21" ht="12.75" x14ac:dyDescent="0.25">
      <c r="B20" s="3" t="s">
        <v>168</v>
      </c>
      <c r="C20" s="3">
        <v>7000</v>
      </c>
      <c r="D20" s="3">
        <v>1340</v>
      </c>
      <c r="E20" s="3">
        <v>5600</v>
      </c>
      <c r="F20" s="3">
        <v>1070</v>
      </c>
      <c r="G20" s="3">
        <v>7000</v>
      </c>
      <c r="H20" s="3">
        <v>7000</v>
      </c>
      <c r="I20" s="3">
        <v>7000</v>
      </c>
      <c r="J20" s="3">
        <v>7000</v>
      </c>
      <c r="K20" s="3">
        <v>5600</v>
      </c>
      <c r="L20" s="3">
        <v>1340</v>
      </c>
      <c r="M20" s="3">
        <v>1340</v>
      </c>
      <c r="N20" s="3">
        <v>1340</v>
      </c>
      <c r="O20" s="3">
        <v>1340</v>
      </c>
      <c r="P20" s="3">
        <v>1070</v>
      </c>
      <c r="Q20" s="15" t="s">
        <v>167</v>
      </c>
      <c r="R20" s="15" t="s">
        <v>167</v>
      </c>
      <c r="S20" s="15" t="s">
        <v>167</v>
      </c>
      <c r="T20" s="15" t="s">
        <v>167</v>
      </c>
      <c r="U20" s="15" t="s">
        <v>167</v>
      </c>
    </row>
    <row r="21" spans="2:21" ht="12.75" x14ac:dyDescent="0.25">
      <c r="B21" s="3" t="s">
        <v>56</v>
      </c>
      <c r="C21" s="3">
        <v>29230</v>
      </c>
      <c r="D21" s="3">
        <v>5280</v>
      </c>
      <c r="E21" s="3">
        <v>17360</v>
      </c>
      <c r="F21" s="3">
        <v>3140</v>
      </c>
      <c r="G21" s="3">
        <v>29230</v>
      </c>
      <c r="H21" s="3">
        <v>29230</v>
      </c>
      <c r="I21" s="3">
        <v>29230</v>
      </c>
      <c r="J21" s="3">
        <v>29230</v>
      </c>
      <c r="K21" s="3">
        <v>17360</v>
      </c>
      <c r="L21" s="3">
        <v>5280</v>
      </c>
      <c r="M21" s="3">
        <v>5280</v>
      </c>
      <c r="N21" s="3">
        <v>5280</v>
      </c>
      <c r="O21" s="3">
        <v>5280</v>
      </c>
      <c r="P21" s="3">
        <v>3140</v>
      </c>
      <c r="Q21" s="15" t="s">
        <v>167</v>
      </c>
      <c r="R21" s="15" t="s">
        <v>167</v>
      </c>
      <c r="S21" s="15" t="s">
        <v>167</v>
      </c>
      <c r="T21" s="15" t="s">
        <v>167</v>
      </c>
      <c r="U21" s="15" t="s">
        <v>167</v>
      </c>
    </row>
    <row r="22" spans="2:21" ht="12.75" x14ac:dyDescent="0.25">
      <c r="B22" s="7" t="s">
        <v>303</v>
      </c>
      <c r="C22" s="18">
        <v>840516.60000000009</v>
      </c>
      <c r="D22" s="18">
        <v>1621840</v>
      </c>
      <c r="E22" s="18">
        <v>861740.60000000009</v>
      </c>
      <c r="F22" s="18">
        <v>1662792</v>
      </c>
      <c r="G22" s="18">
        <v>840516.60000000009</v>
      </c>
      <c r="H22" s="18">
        <v>861740.60000000009</v>
      </c>
      <c r="I22" s="18">
        <v>861740.60000000009</v>
      </c>
      <c r="J22" s="18">
        <v>861740.60000000009</v>
      </c>
      <c r="K22" s="18">
        <v>861740.60000000009</v>
      </c>
      <c r="L22" s="18">
        <v>1621840</v>
      </c>
      <c r="M22" s="18">
        <v>1662792</v>
      </c>
      <c r="N22" s="18">
        <v>1662792</v>
      </c>
      <c r="O22" s="18">
        <v>1662792</v>
      </c>
      <c r="P22" s="18">
        <v>1662792</v>
      </c>
      <c r="Q22" s="74">
        <v>0</v>
      </c>
      <c r="R22" s="74">
        <v>0</v>
      </c>
      <c r="S22" s="74">
        <v>0</v>
      </c>
      <c r="T22" s="74">
        <v>0</v>
      </c>
      <c r="U22" s="74">
        <v>1</v>
      </c>
    </row>
    <row r="23" spans="2:21" s="99" customFormat="1" x14ac:dyDescent="0.3">
      <c r="B23" s="102" t="s">
        <v>340</v>
      </c>
      <c r="C23" s="103">
        <f>SUM(C16:C22)</f>
        <v>913651.52000000014</v>
      </c>
      <c r="D23" s="103">
        <f t="shared" ref="D23:P23" si="3">SUM(D16:D22)</f>
        <v>1638454.54</v>
      </c>
      <c r="E23" s="103">
        <f t="shared" si="3"/>
        <v>947611.3600000001</v>
      </c>
      <c r="F23" s="103">
        <f t="shared" si="3"/>
        <v>1683416.09</v>
      </c>
      <c r="G23" s="103">
        <f t="shared" si="3"/>
        <v>919442.52000000014</v>
      </c>
      <c r="H23" s="103">
        <f t="shared" si="3"/>
        <v>953180.52000000014</v>
      </c>
      <c r="I23" s="103">
        <f t="shared" si="3"/>
        <v>952550.52000000014</v>
      </c>
      <c r="J23" s="103">
        <f t="shared" si="3"/>
        <v>960881.3600000001</v>
      </c>
      <c r="K23" s="103">
        <f t="shared" si="3"/>
        <v>947611.3600000001</v>
      </c>
      <c r="L23" s="103">
        <f t="shared" si="3"/>
        <v>1639821.54</v>
      </c>
      <c r="M23" s="103">
        <f t="shared" si="3"/>
        <v>1683861</v>
      </c>
      <c r="N23" s="103">
        <f t="shared" si="3"/>
        <v>1683712</v>
      </c>
      <c r="O23" s="103">
        <f t="shared" si="3"/>
        <v>1685826.09</v>
      </c>
      <c r="P23" s="103">
        <f t="shared" si="3"/>
        <v>1683416.09</v>
      </c>
      <c r="Q23" s="104" t="s">
        <v>166</v>
      </c>
      <c r="R23" s="104" t="s">
        <v>166</v>
      </c>
      <c r="S23" s="104" t="s">
        <v>166</v>
      </c>
      <c r="T23" s="104" t="s">
        <v>166</v>
      </c>
      <c r="U23" s="104" t="s">
        <v>166</v>
      </c>
    </row>
    <row r="24" spans="2:21" ht="12.75" x14ac:dyDescent="0.25">
      <c r="B24" s="7" t="s">
        <v>24</v>
      </c>
      <c r="C24" s="18">
        <v>27800</v>
      </c>
      <c r="D24" s="18">
        <v>2230</v>
      </c>
      <c r="E24" s="78">
        <v>16516.2</v>
      </c>
      <c r="F24" s="18">
        <v>5505.4</v>
      </c>
      <c r="G24" s="18">
        <v>22394.9</v>
      </c>
      <c r="H24" s="18">
        <v>25940.7</v>
      </c>
      <c r="I24" s="18">
        <v>25940.7</v>
      </c>
      <c r="J24" s="18">
        <v>15023.2</v>
      </c>
      <c r="K24" s="18">
        <v>16516.2</v>
      </c>
      <c r="L24" s="18">
        <v>2230</v>
      </c>
      <c r="M24" s="18">
        <v>3732.5</v>
      </c>
      <c r="N24" s="18">
        <v>4323.5</v>
      </c>
      <c r="O24" s="18">
        <v>5007.7</v>
      </c>
      <c r="P24" s="18">
        <v>5505.4</v>
      </c>
      <c r="Q24" s="15" t="s">
        <v>166</v>
      </c>
      <c r="R24" s="15" t="s">
        <v>166</v>
      </c>
      <c r="S24" s="15" t="s">
        <v>166</v>
      </c>
      <c r="T24" s="15" t="s">
        <v>166</v>
      </c>
      <c r="U24" s="15" t="s">
        <v>166</v>
      </c>
    </row>
    <row r="25" spans="2:21" ht="12.75" x14ac:dyDescent="0.25">
      <c r="B25" s="3" t="s">
        <v>39</v>
      </c>
      <c r="C25" s="3">
        <v>110</v>
      </c>
      <c r="D25" s="3">
        <v>890</v>
      </c>
      <c r="E25" s="3">
        <v>110</v>
      </c>
      <c r="F25" s="3">
        <v>890</v>
      </c>
      <c r="G25" s="3">
        <v>110</v>
      </c>
      <c r="H25" s="3">
        <v>110</v>
      </c>
      <c r="I25" s="3">
        <v>110</v>
      </c>
      <c r="J25" s="3">
        <v>110</v>
      </c>
      <c r="K25" s="3">
        <v>110</v>
      </c>
      <c r="L25" s="3">
        <v>890</v>
      </c>
      <c r="M25" s="3">
        <v>890</v>
      </c>
      <c r="N25" s="3">
        <v>890</v>
      </c>
      <c r="O25" s="3">
        <v>890</v>
      </c>
      <c r="P25" s="3">
        <v>890</v>
      </c>
      <c r="Q25" s="15" t="s">
        <v>166</v>
      </c>
      <c r="R25" s="15" t="s">
        <v>166</v>
      </c>
      <c r="S25" s="15" t="s">
        <v>166</v>
      </c>
      <c r="T25" s="15" t="s">
        <v>166</v>
      </c>
      <c r="U25" s="15" t="s">
        <v>166</v>
      </c>
    </row>
    <row r="26" spans="2:21" ht="12.75" x14ac:dyDescent="0.25">
      <c r="B26" s="7" t="s">
        <v>65</v>
      </c>
      <c r="C26" s="18">
        <v>890</v>
      </c>
      <c r="D26" s="18">
        <v>1440</v>
      </c>
      <c r="E26" s="18">
        <v>890</v>
      </c>
      <c r="F26" s="18">
        <v>1440</v>
      </c>
      <c r="G26" s="18">
        <v>890</v>
      </c>
      <c r="H26" s="18">
        <v>890</v>
      </c>
      <c r="I26" s="18">
        <v>890</v>
      </c>
      <c r="J26" s="18">
        <v>890</v>
      </c>
      <c r="K26" s="18">
        <v>890</v>
      </c>
      <c r="L26" s="18">
        <v>1440</v>
      </c>
      <c r="M26" s="18">
        <v>1440</v>
      </c>
      <c r="N26" s="18">
        <v>1440</v>
      </c>
      <c r="O26" s="18">
        <v>1440</v>
      </c>
      <c r="P26" s="18">
        <v>1440</v>
      </c>
      <c r="Q26" s="19" t="s">
        <v>167</v>
      </c>
      <c r="R26" s="19" t="s">
        <v>167</v>
      </c>
      <c r="S26" s="19" t="s">
        <v>167</v>
      </c>
      <c r="T26" s="19" t="s">
        <v>167</v>
      </c>
      <c r="U26" s="19" t="s">
        <v>167</v>
      </c>
    </row>
    <row r="27" spans="2:21" ht="12.75" x14ac:dyDescent="0.25">
      <c r="B27" s="3" t="s">
        <v>76</v>
      </c>
      <c r="C27" s="18">
        <v>57460</v>
      </c>
      <c r="D27" s="18">
        <v>23960</v>
      </c>
      <c r="E27" s="78">
        <v>25360</v>
      </c>
      <c r="F27" s="18">
        <v>10570</v>
      </c>
      <c r="G27" s="18">
        <v>35130</v>
      </c>
      <c r="H27" s="18">
        <v>32850</v>
      </c>
      <c r="I27" s="18">
        <v>30470</v>
      </c>
      <c r="J27" s="18">
        <v>27970</v>
      </c>
      <c r="K27" s="18">
        <v>25360</v>
      </c>
      <c r="L27" s="18">
        <v>14650</v>
      </c>
      <c r="M27" s="18">
        <v>13700</v>
      </c>
      <c r="N27" s="18">
        <v>12700</v>
      </c>
      <c r="O27" s="18">
        <v>11660</v>
      </c>
      <c r="P27" s="18">
        <v>10570</v>
      </c>
      <c r="Q27" s="15" t="s">
        <v>166</v>
      </c>
      <c r="R27" s="15" t="s">
        <v>166</v>
      </c>
      <c r="S27" s="15" t="s">
        <v>166</v>
      </c>
      <c r="T27" s="15" t="s">
        <v>166</v>
      </c>
      <c r="U27" s="15" t="s">
        <v>166</v>
      </c>
    </row>
    <row r="28" spans="2:21" ht="27.6" x14ac:dyDescent="0.3">
      <c r="B28" s="7" t="s">
        <v>305</v>
      </c>
      <c r="C28" s="18">
        <v>960590.4</v>
      </c>
      <c r="D28" s="18">
        <v>202730</v>
      </c>
      <c r="E28" s="18">
        <v>984846.4</v>
      </c>
      <c r="F28" s="18">
        <v>207849</v>
      </c>
      <c r="G28" s="18">
        <v>960590.4</v>
      </c>
      <c r="H28" s="18">
        <v>984846.4</v>
      </c>
      <c r="I28" s="18">
        <v>984846.4</v>
      </c>
      <c r="J28" s="18">
        <v>984846.4</v>
      </c>
      <c r="K28" s="18">
        <v>984846.4</v>
      </c>
      <c r="L28" s="18">
        <v>202730</v>
      </c>
      <c r="M28" s="18">
        <v>207849</v>
      </c>
      <c r="N28" s="18">
        <v>207849</v>
      </c>
      <c r="O28" s="18">
        <v>207849</v>
      </c>
      <c r="P28" s="18">
        <v>207849</v>
      </c>
      <c r="Q28" s="74">
        <v>0</v>
      </c>
      <c r="R28" s="74">
        <v>0</v>
      </c>
      <c r="S28" s="74">
        <v>0</v>
      </c>
      <c r="T28" s="74">
        <v>0</v>
      </c>
      <c r="U28" s="74">
        <v>1</v>
      </c>
    </row>
    <row r="29" spans="2:21" s="99" customFormat="1" x14ac:dyDescent="0.3">
      <c r="B29" s="102" t="s">
        <v>341</v>
      </c>
      <c r="C29" s="103">
        <f>SUM(C24:C28)</f>
        <v>1046850.4</v>
      </c>
      <c r="D29" s="103">
        <f t="shared" ref="D29:P29" si="4">SUM(D24:D28)</f>
        <v>231250</v>
      </c>
      <c r="E29" s="103">
        <f t="shared" si="4"/>
        <v>1027722.6</v>
      </c>
      <c r="F29" s="103">
        <f t="shared" si="4"/>
        <v>226254.4</v>
      </c>
      <c r="G29" s="103">
        <f t="shared" si="4"/>
        <v>1019115.3</v>
      </c>
      <c r="H29" s="103">
        <f t="shared" si="4"/>
        <v>1044637.1</v>
      </c>
      <c r="I29" s="103">
        <f t="shared" si="4"/>
        <v>1042257.1</v>
      </c>
      <c r="J29" s="103">
        <f t="shared" si="4"/>
        <v>1028839.6</v>
      </c>
      <c r="K29" s="103">
        <f t="shared" si="4"/>
        <v>1027722.6</v>
      </c>
      <c r="L29" s="103">
        <f t="shared" si="4"/>
        <v>221940</v>
      </c>
      <c r="M29" s="103">
        <f t="shared" si="4"/>
        <v>227611.5</v>
      </c>
      <c r="N29" s="103">
        <f t="shared" si="4"/>
        <v>227202.5</v>
      </c>
      <c r="O29" s="103">
        <f t="shared" si="4"/>
        <v>226846.7</v>
      </c>
      <c r="P29" s="103">
        <f t="shared" si="4"/>
        <v>226254.4</v>
      </c>
      <c r="Q29" s="104" t="s">
        <v>166</v>
      </c>
      <c r="R29" s="104" t="s">
        <v>166</v>
      </c>
      <c r="S29" s="104" t="s">
        <v>166</v>
      </c>
      <c r="T29" s="104" t="s">
        <v>166</v>
      </c>
      <c r="U29" s="104" t="s">
        <v>166</v>
      </c>
    </row>
    <row r="30" spans="2:21" ht="12.75" x14ac:dyDescent="0.25">
      <c r="B30" s="7" t="s">
        <v>89</v>
      </c>
      <c r="C30" s="7">
        <v>30</v>
      </c>
      <c r="D30" s="7">
        <v>31</v>
      </c>
      <c r="E30" s="7">
        <v>30</v>
      </c>
      <c r="F30" s="7">
        <v>30</v>
      </c>
      <c r="G30" s="7">
        <v>30</v>
      </c>
      <c r="H30" s="7">
        <v>30</v>
      </c>
      <c r="I30" s="7">
        <v>30</v>
      </c>
      <c r="J30" s="7">
        <v>30</v>
      </c>
      <c r="K30" s="7">
        <v>30</v>
      </c>
      <c r="L30" s="7">
        <v>31</v>
      </c>
      <c r="M30" s="7">
        <v>31</v>
      </c>
      <c r="N30" s="7">
        <v>31</v>
      </c>
      <c r="O30" s="7">
        <v>31</v>
      </c>
      <c r="P30" s="7">
        <v>30</v>
      </c>
      <c r="Q30" s="15" t="s">
        <v>167</v>
      </c>
      <c r="R30" s="15" t="s">
        <v>167</v>
      </c>
      <c r="S30" s="15" t="s">
        <v>167</v>
      </c>
      <c r="T30" s="15" t="s">
        <v>167</v>
      </c>
      <c r="U30" s="15" t="s">
        <v>167</v>
      </c>
    </row>
    <row r="31" spans="2:21" ht="12.75" x14ac:dyDescent="0.25">
      <c r="B31" s="7" t="s">
        <v>90</v>
      </c>
      <c r="C31" s="7">
        <v>140</v>
      </c>
      <c r="D31" s="7">
        <v>33</v>
      </c>
      <c r="E31" s="7">
        <v>140</v>
      </c>
      <c r="F31" s="7">
        <v>30</v>
      </c>
      <c r="G31" s="7">
        <v>140</v>
      </c>
      <c r="H31" s="7">
        <v>140</v>
      </c>
      <c r="I31" s="7">
        <v>140</v>
      </c>
      <c r="J31" s="7">
        <v>140</v>
      </c>
      <c r="K31" s="7">
        <v>140</v>
      </c>
      <c r="L31" s="7">
        <v>33</v>
      </c>
      <c r="M31" s="7">
        <v>33</v>
      </c>
      <c r="N31" s="7">
        <v>33</v>
      </c>
      <c r="O31" s="7">
        <v>33</v>
      </c>
      <c r="P31" s="7">
        <v>30</v>
      </c>
      <c r="Q31" s="15" t="s">
        <v>167</v>
      </c>
      <c r="R31" s="15" t="s">
        <v>167</v>
      </c>
      <c r="S31" s="15" t="s">
        <v>167</v>
      </c>
      <c r="T31" s="15" t="s">
        <v>167</v>
      </c>
      <c r="U31" s="15" t="s">
        <v>167</v>
      </c>
    </row>
    <row r="32" spans="2:21" ht="12.75" x14ac:dyDescent="0.25">
      <c r="B32" s="3" t="s">
        <v>80</v>
      </c>
      <c r="C32" s="69">
        <v>396.16310399999998</v>
      </c>
      <c r="D32" s="69">
        <v>35676.370560000003</v>
      </c>
      <c r="E32" s="3">
        <v>416.3714037828114</v>
      </c>
      <c r="F32" s="3">
        <v>37496.224009651763</v>
      </c>
      <c r="G32" s="69">
        <v>400.12473503999996</v>
      </c>
      <c r="H32" s="69">
        <v>404.12598239039994</v>
      </c>
      <c r="I32" s="69">
        <v>408.16724221430394</v>
      </c>
      <c r="J32" s="69">
        <v>412.24891463644695</v>
      </c>
      <c r="K32" s="69">
        <v>416.3714037828114</v>
      </c>
      <c r="L32" s="69">
        <v>36033.134265600005</v>
      </c>
      <c r="M32" s="69">
        <v>36393.465608256003</v>
      </c>
      <c r="N32" s="69">
        <v>36757.400264338561</v>
      </c>
      <c r="O32" s="69">
        <v>37124.974266981946</v>
      </c>
      <c r="P32" s="69">
        <v>37496.224009651763</v>
      </c>
      <c r="Q32" s="15" t="s">
        <v>167</v>
      </c>
      <c r="R32" s="15" t="s">
        <v>167</v>
      </c>
      <c r="S32" s="15" t="s">
        <v>167</v>
      </c>
      <c r="T32" s="15" t="s">
        <v>167</v>
      </c>
      <c r="U32" s="15" t="s">
        <v>167</v>
      </c>
    </row>
    <row r="33" spans="2:21" s="99" customFormat="1" x14ac:dyDescent="0.3">
      <c r="B33" s="102" t="s">
        <v>342</v>
      </c>
      <c r="C33" s="103">
        <f>SUM(C30:C32)</f>
        <v>566.16310399999998</v>
      </c>
      <c r="D33" s="103">
        <f t="shared" ref="D33:P33" si="5">SUM(D30:D32)</f>
        <v>35740.370560000003</v>
      </c>
      <c r="E33" s="103">
        <f t="shared" si="5"/>
        <v>586.3714037828114</v>
      </c>
      <c r="F33" s="103">
        <f t="shared" si="5"/>
        <v>37556.224009651763</v>
      </c>
      <c r="G33" s="103">
        <f t="shared" si="5"/>
        <v>570.1247350399999</v>
      </c>
      <c r="H33" s="103">
        <f t="shared" si="5"/>
        <v>574.12598239039994</v>
      </c>
      <c r="I33" s="103">
        <f t="shared" si="5"/>
        <v>578.167242214304</v>
      </c>
      <c r="J33" s="103">
        <f t="shared" si="5"/>
        <v>582.2489146364469</v>
      </c>
      <c r="K33" s="103">
        <f t="shared" si="5"/>
        <v>586.3714037828114</v>
      </c>
      <c r="L33" s="103">
        <f t="shared" si="5"/>
        <v>36097.134265600005</v>
      </c>
      <c r="M33" s="103">
        <f t="shared" si="5"/>
        <v>36457.465608256003</v>
      </c>
      <c r="N33" s="103">
        <f t="shared" si="5"/>
        <v>36821.400264338561</v>
      </c>
      <c r="O33" s="103">
        <f t="shared" si="5"/>
        <v>37188.974266981946</v>
      </c>
      <c r="P33" s="103">
        <f t="shared" si="5"/>
        <v>37556.224009651763</v>
      </c>
      <c r="Q33" s="104" t="s">
        <v>166</v>
      </c>
      <c r="R33" s="104" t="s">
        <v>166</v>
      </c>
      <c r="S33" s="104" t="s">
        <v>166</v>
      </c>
      <c r="T33" s="104" t="s">
        <v>166</v>
      </c>
      <c r="U33" s="104" t="s">
        <v>166</v>
      </c>
    </row>
    <row r="34" spans="2:21" ht="12.75" x14ac:dyDescent="0.25">
      <c r="B34" s="3" t="s">
        <v>33</v>
      </c>
      <c r="C34" s="3">
        <v>280</v>
      </c>
      <c r="D34" s="3">
        <v>390</v>
      </c>
      <c r="E34" s="3">
        <v>280</v>
      </c>
      <c r="F34" s="3">
        <v>390</v>
      </c>
      <c r="G34" s="3">
        <v>280</v>
      </c>
      <c r="H34" s="3">
        <v>280</v>
      </c>
      <c r="I34" s="3">
        <v>280</v>
      </c>
      <c r="J34" s="3">
        <v>280</v>
      </c>
      <c r="K34" s="3">
        <v>280</v>
      </c>
      <c r="L34" s="3">
        <v>390</v>
      </c>
      <c r="M34" s="3">
        <v>390</v>
      </c>
      <c r="N34" s="3">
        <v>390</v>
      </c>
      <c r="O34" s="3">
        <v>390</v>
      </c>
      <c r="P34" s="3">
        <v>390</v>
      </c>
      <c r="Q34" s="15" t="s">
        <v>166</v>
      </c>
      <c r="R34" s="15" t="s">
        <v>166</v>
      </c>
      <c r="S34" s="15" t="s">
        <v>166</v>
      </c>
      <c r="T34" s="15" t="s">
        <v>166</v>
      </c>
      <c r="U34" s="15" t="s">
        <v>166</v>
      </c>
    </row>
    <row r="35" spans="2:21" ht="25.5" x14ac:dyDescent="0.25">
      <c r="B35" s="3" t="s">
        <v>41</v>
      </c>
      <c r="C35" s="18">
        <v>277130</v>
      </c>
      <c r="D35" s="18">
        <v>8470</v>
      </c>
      <c r="E35" s="71">
        <v>75690</v>
      </c>
      <c r="F35" s="18">
        <v>8470</v>
      </c>
      <c r="G35" s="18">
        <v>277130</v>
      </c>
      <c r="H35" s="18">
        <v>277130</v>
      </c>
      <c r="I35" s="18">
        <v>165560</v>
      </c>
      <c r="J35" s="18">
        <v>118300</v>
      </c>
      <c r="K35" s="18">
        <v>75690</v>
      </c>
      <c r="L35" s="18">
        <v>8470</v>
      </c>
      <c r="M35" s="18">
        <v>8470</v>
      </c>
      <c r="N35" s="18">
        <v>8470</v>
      </c>
      <c r="O35" s="18">
        <v>8470</v>
      </c>
      <c r="P35" s="18">
        <v>8470</v>
      </c>
      <c r="Q35" s="15" t="s">
        <v>166</v>
      </c>
      <c r="R35" s="15" t="s">
        <v>166</v>
      </c>
      <c r="S35" s="15" t="s">
        <v>166</v>
      </c>
      <c r="T35" s="15" t="s">
        <v>166</v>
      </c>
      <c r="U35" s="15" t="s">
        <v>166</v>
      </c>
    </row>
    <row r="36" spans="2:21" ht="12.75" x14ac:dyDescent="0.25">
      <c r="B36" s="3" t="s">
        <v>169</v>
      </c>
      <c r="C36" s="3">
        <v>340</v>
      </c>
      <c r="D36" s="3">
        <v>1080</v>
      </c>
      <c r="E36" s="3">
        <v>340</v>
      </c>
      <c r="F36" s="3">
        <v>1080</v>
      </c>
      <c r="G36" s="3">
        <v>340</v>
      </c>
      <c r="H36" s="3">
        <v>340</v>
      </c>
      <c r="I36" s="3">
        <v>340</v>
      </c>
      <c r="J36" s="3">
        <v>340</v>
      </c>
      <c r="K36" s="3">
        <v>340</v>
      </c>
      <c r="L36" s="3">
        <v>1080</v>
      </c>
      <c r="M36" s="3">
        <v>1080</v>
      </c>
      <c r="N36" s="3">
        <v>1080</v>
      </c>
      <c r="O36" s="3">
        <v>1080</v>
      </c>
      <c r="P36" s="3">
        <v>1080</v>
      </c>
      <c r="Q36" s="15" t="s">
        <v>167</v>
      </c>
      <c r="R36" s="15" t="s">
        <v>167</v>
      </c>
      <c r="S36" s="15" t="s">
        <v>167</v>
      </c>
      <c r="T36" s="15" t="s">
        <v>167</v>
      </c>
      <c r="U36" s="15" t="s">
        <v>167</v>
      </c>
    </row>
    <row r="37" spans="2:21" ht="12.75" x14ac:dyDescent="0.25">
      <c r="B37" s="3" t="s">
        <v>52</v>
      </c>
      <c r="C37" s="3">
        <v>340</v>
      </c>
      <c r="D37" s="3">
        <v>850</v>
      </c>
      <c r="E37" s="3">
        <v>340</v>
      </c>
      <c r="F37" s="3">
        <v>850</v>
      </c>
      <c r="G37" s="3">
        <v>340</v>
      </c>
      <c r="H37" s="3">
        <v>340</v>
      </c>
      <c r="I37" s="3">
        <v>340</v>
      </c>
      <c r="J37" s="3">
        <v>340</v>
      </c>
      <c r="K37" s="3">
        <v>340</v>
      </c>
      <c r="L37" s="3">
        <v>850</v>
      </c>
      <c r="M37" s="3">
        <v>850</v>
      </c>
      <c r="N37" s="3">
        <v>850</v>
      </c>
      <c r="O37" s="3">
        <v>850</v>
      </c>
      <c r="P37" s="3">
        <v>850</v>
      </c>
      <c r="Q37" s="15" t="s">
        <v>167</v>
      </c>
      <c r="R37" s="15" t="s">
        <v>167</v>
      </c>
      <c r="S37" s="15" t="s">
        <v>167</v>
      </c>
      <c r="T37" s="15" t="s">
        <v>167</v>
      </c>
      <c r="U37" s="15" t="s">
        <v>167</v>
      </c>
    </row>
    <row r="38" spans="2:21" ht="12.75" x14ac:dyDescent="0.25">
      <c r="B38" s="3" t="s">
        <v>62</v>
      </c>
      <c r="C38" s="18">
        <v>1700</v>
      </c>
      <c r="D38" s="18">
        <v>3540</v>
      </c>
      <c r="E38" s="18">
        <v>1810</v>
      </c>
      <c r="F38" s="18">
        <v>1770</v>
      </c>
      <c r="G38" s="18">
        <v>1700</v>
      </c>
      <c r="H38" s="18">
        <v>1700</v>
      </c>
      <c r="I38" s="18">
        <v>1700</v>
      </c>
      <c r="J38" s="18">
        <v>1700</v>
      </c>
      <c r="K38" s="18">
        <v>1810</v>
      </c>
      <c r="L38" s="18">
        <v>3540</v>
      </c>
      <c r="M38" s="18">
        <v>3540</v>
      </c>
      <c r="N38" s="18">
        <v>3540</v>
      </c>
      <c r="O38" s="18">
        <v>3540</v>
      </c>
      <c r="P38" s="18">
        <v>1770</v>
      </c>
      <c r="Q38" s="19" t="s">
        <v>167</v>
      </c>
      <c r="R38" s="19" t="s">
        <v>167</v>
      </c>
      <c r="S38" s="19" t="s">
        <v>167</v>
      </c>
      <c r="T38" s="19" t="s">
        <v>167</v>
      </c>
      <c r="U38" s="19" t="s">
        <v>167</v>
      </c>
    </row>
    <row r="39" spans="2:21" ht="12.75" x14ac:dyDescent="0.25">
      <c r="B39" s="3" t="s">
        <v>66</v>
      </c>
      <c r="C39" s="18">
        <v>15.12</v>
      </c>
      <c r="D39" s="18">
        <v>39</v>
      </c>
      <c r="E39" s="71">
        <v>24.1</v>
      </c>
      <c r="F39" s="18">
        <v>62.3</v>
      </c>
      <c r="G39" s="18">
        <v>15.12</v>
      </c>
      <c r="H39" s="18">
        <v>18.14</v>
      </c>
      <c r="I39" s="18">
        <v>19.940000000000001</v>
      </c>
      <c r="J39" s="18">
        <v>21.91</v>
      </c>
      <c r="K39" s="18">
        <v>24.1</v>
      </c>
      <c r="L39" s="18">
        <v>39</v>
      </c>
      <c r="M39" s="18">
        <v>46.8</v>
      </c>
      <c r="N39" s="18">
        <v>51.48</v>
      </c>
      <c r="O39" s="18">
        <v>56.63</v>
      </c>
      <c r="P39" s="18">
        <v>62.3</v>
      </c>
      <c r="Q39" s="15" t="s">
        <v>166</v>
      </c>
      <c r="R39" s="15" t="s">
        <v>166</v>
      </c>
      <c r="S39" s="15" t="s">
        <v>166</v>
      </c>
      <c r="T39" s="15" t="s">
        <v>166</v>
      </c>
      <c r="U39" s="15" t="s">
        <v>166</v>
      </c>
    </row>
    <row r="40" spans="2:21" ht="12.75" x14ac:dyDescent="0.25">
      <c r="B40" s="3" t="s">
        <v>69</v>
      </c>
      <c r="C40" s="18">
        <v>7180</v>
      </c>
      <c r="D40" s="18">
        <v>7390</v>
      </c>
      <c r="E40" s="78">
        <v>4239</v>
      </c>
      <c r="F40" s="18">
        <v>4363</v>
      </c>
      <c r="G40" s="18">
        <v>6462</v>
      </c>
      <c r="H40" s="18">
        <v>5815</v>
      </c>
      <c r="I40" s="18">
        <v>5234</v>
      </c>
      <c r="J40" s="18">
        <v>4710</v>
      </c>
      <c r="K40" s="18">
        <v>4239</v>
      </c>
      <c r="L40" s="18">
        <v>6641</v>
      </c>
      <c r="M40" s="18">
        <v>5985</v>
      </c>
      <c r="N40" s="18">
        <v>5387</v>
      </c>
      <c r="O40" s="18">
        <v>4848</v>
      </c>
      <c r="P40" s="18">
        <v>4363</v>
      </c>
      <c r="Q40" s="15" t="s">
        <v>166</v>
      </c>
      <c r="R40" s="15" t="s">
        <v>166</v>
      </c>
      <c r="S40" s="15" t="s">
        <v>166</v>
      </c>
      <c r="T40" s="15" t="s">
        <v>166</v>
      </c>
      <c r="U40" s="15" t="s">
        <v>166</v>
      </c>
    </row>
    <row r="41" spans="2:21" ht="25.5" x14ac:dyDescent="0.25">
      <c r="B41" s="7" t="s">
        <v>127</v>
      </c>
      <c r="C41" s="69">
        <v>3193.4429519999999</v>
      </c>
      <c r="D41" s="69">
        <v>160846.50899999999</v>
      </c>
      <c r="E41" s="3">
        <v>3356.3406369730119</v>
      </c>
      <c r="F41" s="3">
        <v>169051.29748250009</v>
      </c>
      <c r="G41" s="69">
        <v>3225.3773815199997</v>
      </c>
      <c r="H41" s="69">
        <v>3257.6311553351998</v>
      </c>
      <c r="I41" s="69">
        <v>3290.2074668885516</v>
      </c>
      <c r="J41" s="69">
        <v>3323.1095415574373</v>
      </c>
      <c r="K41" s="69">
        <v>3356.3406369730119</v>
      </c>
      <c r="L41" s="69">
        <v>162454.97409</v>
      </c>
      <c r="M41" s="69">
        <v>164079.5238309</v>
      </c>
      <c r="N41" s="69">
        <v>165720.31906920898</v>
      </c>
      <c r="O41" s="69">
        <v>167377.52225990107</v>
      </c>
      <c r="P41" s="69">
        <v>169051.29748250009</v>
      </c>
      <c r="Q41" s="15" t="s">
        <v>167</v>
      </c>
      <c r="R41" s="15" t="s">
        <v>167</v>
      </c>
      <c r="S41" s="15" t="s">
        <v>167</v>
      </c>
      <c r="T41" s="15" t="s">
        <v>167</v>
      </c>
      <c r="U41" s="15" t="s">
        <v>167</v>
      </c>
    </row>
    <row r="42" spans="2:21" ht="12.75" x14ac:dyDescent="0.25">
      <c r="B42" s="7" t="s">
        <v>309</v>
      </c>
      <c r="C42" s="18">
        <v>2821734.3</v>
      </c>
      <c r="D42" s="18">
        <v>1419110</v>
      </c>
      <c r="E42" s="18">
        <v>2892986.3</v>
      </c>
      <c r="F42" s="18">
        <v>1454942.9999999998</v>
      </c>
      <c r="G42" s="18">
        <v>2821734.3</v>
      </c>
      <c r="H42" s="18">
        <v>2892986.3</v>
      </c>
      <c r="I42" s="18">
        <v>2892986.3</v>
      </c>
      <c r="J42" s="18">
        <v>2892986.3</v>
      </c>
      <c r="K42" s="18">
        <v>2892986.3</v>
      </c>
      <c r="L42" s="18">
        <v>1419110</v>
      </c>
      <c r="M42" s="18">
        <v>1454942.9999999998</v>
      </c>
      <c r="N42" s="18">
        <v>1454942.9999999998</v>
      </c>
      <c r="O42" s="18">
        <v>1454942.9999999998</v>
      </c>
      <c r="P42" s="18">
        <v>1454942.9999999998</v>
      </c>
      <c r="Q42" s="74">
        <v>0</v>
      </c>
      <c r="R42" s="74">
        <v>0</v>
      </c>
      <c r="S42" s="74">
        <v>0</v>
      </c>
      <c r="T42" s="74">
        <v>0</v>
      </c>
      <c r="U42" s="74">
        <v>1</v>
      </c>
    </row>
    <row r="43" spans="2:21" x14ac:dyDescent="0.3">
      <c r="B43" s="3" t="s">
        <v>18</v>
      </c>
      <c r="C43" s="88">
        <v>350</v>
      </c>
      <c r="D43" s="88">
        <v>740</v>
      </c>
      <c r="E43" s="88">
        <v>350</v>
      </c>
      <c r="F43" s="88">
        <v>740</v>
      </c>
      <c r="G43" s="88">
        <v>350</v>
      </c>
      <c r="H43" s="88">
        <v>350</v>
      </c>
      <c r="I43" s="88">
        <v>350</v>
      </c>
      <c r="J43" s="88">
        <v>350</v>
      </c>
      <c r="K43" s="88">
        <v>350</v>
      </c>
      <c r="L43" s="88">
        <v>740</v>
      </c>
      <c r="M43" s="88">
        <v>740</v>
      </c>
      <c r="N43" s="88">
        <v>740</v>
      </c>
      <c r="O43" s="88">
        <v>740</v>
      </c>
      <c r="P43" s="88">
        <v>740</v>
      </c>
      <c r="Q43" s="91" t="s">
        <v>166</v>
      </c>
      <c r="R43" s="91" t="s">
        <v>166</v>
      </c>
      <c r="S43" s="91" t="s">
        <v>166</v>
      </c>
      <c r="T43" s="91" t="s">
        <v>166</v>
      </c>
      <c r="U43" s="91" t="s">
        <v>166</v>
      </c>
    </row>
    <row r="44" spans="2:21" s="99" customFormat="1" ht="12.75" x14ac:dyDescent="0.25">
      <c r="B44" s="102" t="s">
        <v>343</v>
      </c>
      <c r="C44" s="103">
        <f>SUM(C34:C43)</f>
        <v>3112262.862952</v>
      </c>
      <c r="D44" s="103">
        <f t="shared" ref="D44:P44" si="6">SUM(D34:D43)</f>
        <v>1602455.5090000001</v>
      </c>
      <c r="E44" s="103">
        <f t="shared" si="6"/>
        <v>2979415.7406369727</v>
      </c>
      <c r="F44" s="103">
        <f t="shared" si="6"/>
        <v>1641719.5974824999</v>
      </c>
      <c r="G44" s="103">
        <f t="shared" si="6"/>
        <v>3111576.7973815198</v>
      </c>
      <c r="H44" s="103">
        <f t="shared" si="6"/>
        <v>3182217.0711553348</v>
      </c>
      <c r="I44" s="103">
        <f t="shared" si="6"/>
        <v>3070100.4474668885</v>
      </c>
      <c r="J44" s="103">
        <f t="shared" si="6"/>
        <v>3022351.3195415572</v>
      </c>
      <c r="K44" s="103">
        <f t="shared" si="6"/>
        <v>2979415.7406369727</v>
      </c>
      <c r="L44" s="103">
        <f t="shared" si="6"/>
        <v>1603314.9740899999</v>
      </c>
      <c r="M44" s="103">
        <f t="shared" si="6"/>
        <v>1640124.3238308998</v>
      </c>
      <c r="N44" s="103">
        <f t="shared" si="6"/>
        <v>1641171.7990692088</v>
      </c>
      <c r="O44" s="103">
        <f t="shared" si="6"/>
        <v>1642295.1522599009</v>
      </c>
      <c r="P44" s="103">
        <f t="shared" si="6"/>
        <v>1641719.5974824999</v>
      </c>
      <c r="Q44" s="104" t="s">
        <v>166</v>
      </c>
      <c r="R44" s="104" t="s">
        <v>166</v>
      </c>
      <c r="S44" s="104" t="s">
        <v>166</v>
      </c>
      <c r="T44" s="104" t="s">
        <v>166</v>
      </c>
      <c r="U44" s="104" t="s">
        <v>166</v>
      </c>
    </row>
    <row r="45" spans="2:21" ht="12.75" x14ac:dyDescent="0.25">
      <c r="B45" s="7" t="s">
        <v>85</v>
      </c>
      <c r="C45" s="18">
        <v>24</v>
      </c>
      <c r="D45" s="18">
        <v>170</v>
      </c>
      <c r="E45" s="18">
        <v>20</v>
      </c>
      <c r="F45" s="18">
        <v>170</v>
      </c>
      <c r="G45" s="18">
        <v>24</v>
      </c>
      <c r="H45" s="18">
        <v>24</v>
      </c>
      <c r="I45" s="18">
        <v>24</v>
      </c>
      <c r="J45" s="18">
        <v>24</v>
      </c>
      <c r="K45" s="18">
        <v>20</v>
      </c>
      <c r="L45" s="18">
        <v>170</v>
      </c>
      <c r="M45" s="18">
        <v>170</v>
      </c>
      <c r="N45" s="18">
        <v>170</v>
      </c>
      <c r="O45" s="18">
        <v>170</v>
      </c>
      <c r="P45" s="18">
        <v>170</v>
      </c>
      <c r="Q45" s="98" t="s">
        <v>166</v>
      </c>
      <c r="R45" s="98" t="s">
        <v>166</v>
      </c>
      <c r="S45" s="98" t="s">
        <v>166</v>
      </c>
      <c r="T45" s="98" t="s">
        <v>166</v>
      </c>
      <c r="U45" s="98" t="s">
        <v>166</v>
      </c>
    </row>
    <row r="46" spans="2:21" s="99" customFormat="1" ht="12.75" x14ac:dyDescent="0.25">
      <c r="B46" s="102" t="s">
        <v>344</v>
      </c>
      <c r="C46" s="103">
        <f>SUM(C45)</f>
        <v>24</v>
      </c>
      <c r="D46" s="103">
        <f t="shared" ref="D46" si="7">SUM(D45)</f>
        <v>170</v>
      </c>
      <c r="E46" s="103">
        <f t="shared" ref="E46" si="8">SUM(E45)</f>
        <v>20</v>
      </c>
      <c r="F46" s="103">
        <f t="shared" ref="F46" si="9">SUM(F45)</f>
        <v>170</v>
      </c>
      <c r="G46" s="103">
        <f t="shared" ref="G46" si="10">SUM(G45)</f>
        <v>24</v>
      </c>
      <c r="H46" s="103">
        <f t="shared" ref="H46" si="11">SUM(H45)</f>
        <v>24</v>
      </c>
      <c r="I46" s="103">
        <f t="shared" ref="I46" si="12">SUM(I45)</f>
        <v>24</v>
      </c>
      <c r="J46" s="103">
        <f t="shared" ref="J46" si="13">SUM(J45)</f>
        <v>24</v>
      </c>
      <c r="K46" s="103">
        <f t="shared" ref="K46" si="14">SUM(K45)</f>
        <v>20</v>
      </c>
      <c r="L46" s="103">
        <f t="shared" ref="L46" si="15">SUM(L45)</f>
        <v>170</v>
      </c>
      <c r="M46" s="103">
        <f t="shared" ref="M46" si="16">SUM(M45)</f>
        <v>170</v>
      </c>
      <c r="N46" s="103">
        <f t="shared" ref="N46" si="17">SUM(N45)</f>
        <v>170</v>
      </c>
      <c r="O46" s="103">
        <f t="shared" ref="O46" si="18">SUM(O45)</f>
        <v>170</v>
      </c>
      <c r="P46" s="103">
        <f t="shared" ref="P46" si="19">SUM(P45)</f>
        <v>170</v>
      </c>
      <c r="Q46" s="104" t="s">
        <v>166</v>
      </c>
      <c r="R46" s="104" t="s">
        <v>166</v>
      </c>
      <c r="S46" s="104" t="s">
        <v>166</v>
      </c>
      <c r="T46" s="104" t="s">
        <v>166</v>
      </c>
      <c r="U46" s="104" t="s">
        <v>166</v>
      </c>
    </row>
    <row r="47" spans="2:21" ht="12.75" x14ac:dyDescent="0.25">
      <c r="B47" s="3" t="s">
        <v>92</v>
      </c>
      <c r="C47" s="3">
        <v>262.8</v>
      </c>
      <c r="D47" s="3">
        <v>98.55</v>
      </c>
      <c r="E47" s="2">
        <v>262.8</v>
      </c>
      <c r="F47" s="3">
        <v>98.55</v>
      </c>
      <c r="G47" s="3">
        <v>262.8</v>
      </c>
      <c r="H47" s="3">
        <v>262.8</v>
      </c>
      <c r="I47" s="3">
        <v>262.8</v>
      </c>
      <c r="J47" s="3">
        <v>262.8</v>
      </c>
      <c r="K47" s="3">
        <v>262.8</v>
      </c>
      <c r="L47" s="3">
        <v>98.55</v>
      </c>
      <c r="M47" s="3">
        <v>98.55</v>
      </c>
      <c r="N47" s="3">
        <v>98.55</v>
      </c>
      <c r="O47" s="3">
        <v>98.55</v>
      </c>
      <c r="P47" s="3">
        <v>98.55</v>
      </c>
      <c r="Q47" s="19" t="s">
        <v>167</v>
      </c>
      <c r="R47" s="19" t="s">
        <v>167</v>
      </c>
      <c r="S47" s="19" t="s">
        <v>167</v>
      </c>
      <c r="T47" s="19" t="s">
        <v>167</v>
      </c>
      <c r="U47" s="19" t="s">
        <v>167</v>
      </c>
    </row>
    <row r="48" spans="2:21" x14ac:dyDescent="0.3">
      <c r="B48" s="3" t="s">
        <v>237</v>
      </c>
      <c r="C48" s="3">
        <v>219358.4</v>
      </c>
      <c r="D48" s="3">
        <v>156078</v>
      </c>
      <c r="E48" s="3">
        <v>224838.59999999998</v>
      </c>
      <c r="F48" s="3">
        <v>159984</v>
      </c>
      <c r="G48" s="42">
        <v>219358.4</v>
      </c>
      <c r="H48" s="42">
        <v>219358.4</v>
      </c>
      <c r="I48" s="42">
        <v>219358.4</v>
      </c>
      <c r="J48" s="42">
        <v>219358.4</v>
      </c>
      <c r="K48" s="3">
        <v>224838.59999999998</v>
      </c>
      <c r="L48" s="3">
        <v>156078</v>
      </c>
      <c r="M48" s="3">
        <v>156078</v>
      </c>
      <c r="N48" s="3">
        <v>156078</v>
      </c>
      <c r="O48" s="3">
        <v>156078</v>
      </c>
      <c r="P48" s="3">
        <v>159984</v>
      </c>
      <c r="Q48" s="3">
        <v>0</v>
      </c>
      <c r="R48" s="3">
        <v>0</v>
      </c>
      <c r="S48" s="3">
        <v>0</v>
      </c>
      <c r="T48" s="3">
        <v>0</v>
      </c>
      <c r="U48" s="3">
        <v>0</v>
      </c>
    </row>
    <row r="49" spans="2:21" x14ac:dyDescent="0.3">
      <c r="B49" s="7" t="s">
        <v>93</v>
      </c>
      <c r="C49" s="82">
        <v>13733.013887999999</v>
      </c>
      <c r="D49" s="82">
        <v>19162.344960000006</v>
      </c>
      <c r="E49" s="82">
        <v>13733.013887999999</v>
      </c>
      <c r="F49" s="82">
        <v>19162.344960000006</v>
      </c>
      <c r="G49" s="82">
        <v>13733.013887999999</v>
      </c>
      <c r="H49" s="82">
        <v>13733.013887999999</v>
      </c>
      <c r="I49" s="82">
        <v>13733.013887999999</v>
      </c>
      <c r="J49" s="82">
        <v>13733.013887999999</v>
      </c>
      <c r="K49" s="82">
        <v>13733.013887999999</v>
      </c>
      <c r="L49" s="82">
        <v>19162.344960000006</v>
      </c>
      <c r="M49" s="82">
        <v>19162.344960000006</v>
      </c>
      <c r="N49" s="82">
        <v>19162.344960000006</v>
      </c>
      <c r="O49" s="82">
        <v>19162.344960000006</v>
      </c>
      <c r="P49" s="82">
        <v>19162.344960000006</v>
      </c>
      <c r="Q49" s="83" t="s">
        <v>167</v>
      </c>
      <c r="R49" s="83" t="s">
        <v>167</v>
      </c>
      <c r="S49" s="83" t="s">
        <v>167</v>
      </c>
      <c r="T49" s="83" t="s">
        <v>167</v>
      </c>
      <c r="U49" s="83" t="s">
        <v>167</v>
      </c>
    </row>
    <row r="50" spans="2:21" s="99" customFormat="1" x14ac:dyDescent="0.3">
      <c r="B50" s="102" t="s">
        <v>345</v>
      </c>
      <c r="C50" s="103">
        <f>SUM(C47:C49)</f>
        <v>233354.21388799997</v>
      </c>
      <c r="D50" s="103">
        <f t="shared" ref="D50:P50" si="20">SUM(D47:D49)</f>
        <v>175338.89496000001</v>
      </c>
      <c r="E50" s="103">
        <f t="shared" si="20"/>
        <v>238834.41388799995</v>
      </c>
      <c r="F50" s="103">
        <f t="shared" si="20"/>
        <v>179244.89496000001</v>
      </c>
      <c r="G50" s="103">
        <f t="shared" si="20"/>
        <v>233354.21388799997</v>
      </c>
      <c r="H50" s="103">
        <f t="shared" si="20"/>
        <v>233354.21388799997</v>
      </c>
      <c r="I50" s="103">
        <f t="shared" si="20"/>
        <v>233354.21388799997</v>
      </c>
      <c r="J50" s="103">
        <f t="shared" si="20"/>
        <v>233354.21388799997</v>
      </c>
      <c r="K50" s="103">
        <f t="shared" si="20"/>
        <v>238834.41388799995</v>
      </c>
      <c r="L50" s="103">
        <f t="shared" si="20"/>
        <v>175338.89496000001</v>
      </c>
      <c r="M50" s="103">
        <f t="shared" si="20"/>
        <v>175338.89496000001</v>
      </c>
      <c r="N50" s="103">
        <f t="shared" si="20"/>
        <v>175338.89496000001</v>
      </c>
      <c r="O50" s="103">
        <f t="shared" si="20"/>
        <v>175338.89496000001</v>
      </c>
      <c r="P50" s="103">
        <f t="shared" si="20"/>
        <v>179244.89496000001</v>
      </c>
      <c r="Q50" s="104" t="s">
        <v>166</v>
      </c>
      <c r="R50" s="104" t="s">
        <v>166</v>
      </c>
      <c r="S50" s="104" t="s">
        <v>166</v>
      </c>
      <c r="T50" s="104" t="s">
        <v>166</v>
      </c>
      <c r="U50" s="104" t="s">
        <v>166</v>
      </c>
    </row>
  </sheetData>
  <autoFilter ref="A6:U50"/>
  <mergeCells count="8">
    <mergeCell ref="Q4:U5"/>
    <mergeCell ref="G5:K5"/>
    <mergeCell ref="B3:P3"/>
    <mergeCell ref="L5:P5"/>
    <mergeCell ref="B4:B6"/>
    <mergeCell ref="C4:D5"/>
    <mergeCell ref="E4:F5"/>
    <mergeCell ref="G4:P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Y56"/>
  <sheetViews>
    <sheetView zoomScale="80" zoomScaleNormal="80" workbookViewId="0">
      <pane xSplit="2" ySplit="6" topLeftCell="C7" activePane="bottomRight" state="frozen"/>
      <selection pane="topRight" activeCell="C1" sqref="C1"/>
      <selection pane="bottomLeft" activeCell="A6" sqref="A6"/>
      <selection pane="bottomRight" activeCell="D14" sqref="D14"/>
    </sheetView>
  </sheetViews>
  <sheetFormatPr baseColWidth="10" defaultColWidth="11.44140625" defaultRowHeight="13.8" x14ac:dyDescent="0.3"/>
  <cols>
    <col min="1" max="1" width="2.33203125" style="2" customWidth="1"/>
    <col min="2" max="2" width="49.109375" style="2" customWidth="1"/>
    <col min="3" max="3" width="13.5546875" style="2" customWidth="1"/>
    <col min="4" max="4" width="26.33203125" style="2" customWidth="1"/>
    <col min="5" max="5" width="19.88671875" style="2" customWidth="1"/>
    <col min="6" max="6" width="17.88671875" style="2" customWidth="1"/>
    <col min="7" max="7" width="12.109375" style="28" customWidth="1"/>
    <col min="8" max="8" width="11.6640625" style="28" bestFit="1" customWidth="1"/>
    <col min="9" max="9" width="12.5546875" style="28" customWidth="1"/>
    <col min="10" max="10" width="12.33203125" style="28" customWidth="1"/>
    <col min="11" max="11" width="12.88671875" style="28" customWidth="1"/>
    <col min="12" max="12" width="11.33203125" style="28" bestFit="1" customWidth="1"/>
    <col min="13" max="13" width="11.88671875" style="28" customWidth="1"/>
    <col min="14" max="14" width="12" style="28" customWidth="1"/>
    <col min="15" max="15" width="13.44140625" style="28" customWidth="1"/>
    <col min="16" max="16" width="12.33203125" style="28" customWidth="1"/>
    <col min="17" max="17" width="11.88671875" style="28" customWidth="1"/>
    <col min="18" max="18" width="12.6640625" style="28" customWidth="1"/>
    <col min="19" max="19" width="11.44140625" style="28" customWidth="1"/>
    <col min="20" max="20" width="12" style="28" customWidth="1"/>
    <col min="21" max="25" width="8.88671875" style="28" customWidth="1"/>
    <col min="26" max="16384" width="11.44140625" style="2"/>
  </cols>
  <sheetData>
    <row r="3" spans="2:25" ht="12.75" customHeight="1" x14ac:dyDescent="0.3">
      <c r="G3" s="112" t="s">
        <v>143</v>
      </c>
      <c r="H3" s="112"/>
      <c r="I3" s="112"/>
      <c r="J3" s="112"/>
      <c r="K3" s="112"/>
      <c r="L3" s="112"/>
      <c r="M3" s="112"/>
      <c r="N3" s="112"/>
      <c r="O3" s="112"/>
      <c r="P3" s="112"/>
      <c r="Q3" s="112"/>
      <c r="R3" s="112"/>
      <c r="S3" s="112"/>
      <c r="T3" s="112"/>
      <c r="U3" s="112"/>
      <c r="V3" s="112"/>
      <c r="W3" s="112"/>
      <c r="X3" s="112"/>
      <c r="Y3" s="112"/>
    </row>
    <row r="4" spans="2:25" ht="20.25" customHeight="1" x14ac:dyDescent="0.3">
      <c r="B4" s="107" t="s">
        <v>4</v>
      </c>
      <c r="C4" s="107" t="s">
        <v>94</v>
      </c>
      <c r="D4" s="107" t="s">
        <v>105</v>
      </c>
      <c r="E4" s="107"/>
      <c r="F4" s="109" t="s">
        <v>99</v>
      </c>
      <c r="G4" s="108" t="s">
        <v>144</v>
      </c>
      <c r="H4" s="108"/>
      <c r="I4" s="108" t="s">
        <v>145</v>
      </c>
      <c r="J4" s="108"/>
      <c r="K4" s="108" t="s">
        <v>146</v>
      </c>
      <c r="L4" s="108"/>
      <c r="M4" s="108"/>
      <c r="N4" s="108"/>
      <c r="O4" s="108"/>
      <c r="P4" s="108"/>
      <c r="Q4" s="108"/>
      <c r="R4" s="108"/>
      <c r="S4" s="108"/>
      <c r="T4" s="108"/>
      <c r="U4" s="105" t="s">
        <v>147</v>
      </c>
      <c r="V4" s="105"/>
      <c r="W4" s="105"/>
      <c r="X4" s="105"/>
      <c r="Y4" s="105"/>
    </row>
    <row r="5" spans="2:25" ht="18" customHeight="1" x14ac:dyDescent="0.3">
      <c r="B5" s="107"/>
      <c r="C5" s="107"/>
      <c r="D5" s="93" t="s">
        <v>110</v>
      </c>
      <c r="E5" s="93" t="s">
        <v>111</v>
      </c>
      <c r="F5" s="110"/>
      <c r="G5" s="108"/>
      <c r="H5" s="108"/>
      <c r="I5" s="108"/>
      <c r="J5" s="108"/>
      <c r="K5" s="105" t="s">
        <v>0</v>
      </c>
      <c r="L5" s="105"/>
      <c r="M5" s="105"/>
      <c r="N5" s="105"/>
      <c r="O5" s="105"/>
      <c r="P5" s="105" t="s">
        <v>1</v>
      </c>
      <c r="Q5" s="105"/>
      <c r="R5" s="105"/>
      <c r="S5" s="105"/>
      <c r="T5" s="105"/>
      <c r="U5" s="105"/>
      <c r="V5" s="105"/>
      <c r="W5" s="105"/>
      <c r="X5" s="105"/>
      <c r="Y5" s="105"/>
    </row>
    <row r="6" spans="2:25" ht="48" customHeight="1" x14ac:dyDescent="0.3">
      <c r="B6" s="107"/>
      <c r="C6" s="107"/>
      <c r="D6" s="94"/>
      <c r="E6" s="94"/>
      <c r="F6" s="111"/>
      <c r="G6" s="95" t="s">
        <v>0</v>
      </c>
      <c r="H6" s="95" t="s">
        <v>1</v>
      </c>
      <c r="I6" s="95" t="s">
        <v>0</v>
      </c>
      <c r="J6" s="95" t="s">
        <v>1</v>
      </c>
      <c r="K6" s="95">
        <v>2015</v>
      </c>
      <c r="L6" s="95">
        <v>2016</v>
      </c>
      <c r="M6" s="95">
        <v>2017</v>
      </c>
      <c r="N6" s="95">
        <v>2018</v>
      </c>
      <c r="O6" s="95">
        <v>2019</v>
      </c>
      <c r="P6" s="95">
        <v>2015</v>
      </c>
      <c r="Q6" s="95">
        <v>2016</v>
      </c>
      <c r="R6" s="95">
        <v>2017</v>
      </c>
      <c r="S6" s="95">
        <v>2018</v>
      </c>
      <c r="T6" s="95">
        <v>2019</v>
      </c>
      <c r="U6" s="95">
        <v>2014</v>
      </c>
      <c r="V6" s="95">
        <v>2015</v>
      </c>
      <c r="W6" s="95">
        <v>2016</v>
      </c>
      <c r="X6" s="95">
        <v>2017</v>
      </c>
      <c r="Y6" s="95">
        <v>2018</v>
      </c>
    </row>
    <row r="7" spans="2:25" ht="65.25" customHeight="1" x14ac:dyDescent="0.3">
      <c r="B7" s="3" t="s">
        <v>92</v>
      </c>
      <c r="C7" s="3" t="s">
        <v>101</v>
      </c>
      <c r="D7" s="5" t="s">
        <v>113</v>
      </c>
      <c r="E7" s="5" t="s">
        <v>106</v>
      </c>
      <c r="F7" s="6" t="s">
        <v>23</v>
      </c>
      <c r="G7" s="3">
        <v>262.8</v>
      </c>
      <c r="H7" s="3">
        <v>98.55</v>
      </c>
      <c r="I7" s="2">
        <v>262.8</v>
      </c>
      <c r="J7" s="3">
        <v>98.55</v>
      </c>
      <c r="K7" s="3">
        <v>262.8</v>
      </c>
      <c r="L7" s="3">
        <v>262.8</v>
      </c>
      <c r="M7" s="3">
        <v>262.8</v>
      </c>
      <c r="N7" s="3">
        <v>262.8</v>
      </c>
      <c r="O7" s="3">
        <v>262.8</v>
      </c>
      <c r="P7" s="3">
        <v>98.55</v>
      </c>
      <c r="Q7" s="3">
        <v>98.55</v>
      </c>
      <c r="R7" s="3">
        <v>98.55</v>
      </c>
      <c r="S7" s="3">
        <v>98.55</v>
      </c>
      <c r="T7" s="3">
        <v>98.55</v>
      </c>
      <c r="U7" s="19" t="s">
        <v>167</v>
      </c>
      <c r="V7" s="19" t="s">
        <v>167</v>
      </c>
      <c r="W7" s="19" t="s">
        <v>167</v>
      </c>
      <c r="X7" s="19" t="s">
        <v>167</v>
      </c>
      <c r="Y7" s="19" t="s">
        <v>167</v>
      </c>
    </row>
    <row r="8" spans="2:25" ht="57" customHeight="1" x14ac:dyDescent="0.3">
      <c r="B8" s="3" t="s">
        <v>237</v>
      </c>
      <c r="C8" s="3" t="s">
        <v>101</v>
      </c>
      <c r="D8" s="5" t="s">
        <v>113</v>
      </c>
      <c r="E8" s="5" t="s">
        <v>107</v>
      </c>
      <c r="F8" s="6" t="s">
        <v>23</v>
      </c>
      <c r="G8" s="3">
        <v>219358.4</v>
      </c>
      <c r="H8" s="3">
        <v>156078</v>
      </c>
      <c r="I8" s="3">
        <v>224838.59999999998</v>
      </c>
      <c r="J8" s="3">
        <v>159984</v>
      </c>
      <c r="K8" s="42">
        <v>219358.4</v>
      </c>
      <c r="L8" s="42">
        <v>219358.4</v>
      </c>
      <c r="M8" s="42">
        <v>219358.4</v>
      </c>
      <c r="N8" s="42">
        <v>219358.4</v>
      </c>
      <c r="O8" s="3">
        <v>224838.59999999998</v>
      </c>
      <c r="P8" s="3">
        <v>156078</v>
      </c>
      <c r="Q8" s="3">
        <v>156078</v>
      </c>
      <c r="R8" s="3">
        <v>156078</v>
      </c>
      <c r="S8" s="3">
        <v>156078</v>
      </c>
      <c r="T8" s="3">
        <v>159984</v>
      </c>
      <c r="U8" s="3">
        <v>0</v>
      </c>
      <c r="V8" s="3">
        <v>0</v>
      </c>
      <c r="W8" s="3">
        <v>0</v>
      </c>
      <c r="X8" s="3">
        <v>0</v>
      </c>
      <c r="Y8" s="3">
        <v>0</v>
      </c>
    </row>
    <row r="9" spans="2:25" s="9" customFormat="1" ht="39.75" customHeight="1" x14ac:dyDescent="0.3">
      <c r="B9" s="7" t="s">
        <v>93</v>
      </c>
      <c r="C9" s="7" t="s">
        <v>101</v>
      </c>
      <c r="D9" s="79" t="s">
        <v>113</v>
      </c>
      <c r="E9" s="79" t="s">
        <v>108</v>
      </c>
      <c r="F9" s="10" t="s">
        <v>23</v>
      </c>
      <c r="G9" s="82">
        <v>13733.013887999999</v>
      </c>
      <c r="H9" s="82">
        <v>19162.344960000006</v>
      </c>
      <c r="I9" s="82">
        <v>13733.013887999999</v>
      </c>
      <c r="J9" s="82">
        <v>19162.344960000006</v>
      </c>
      <c r="K9" s="82">
        <v>13733.013887999999</v>
      </c>
      <c r="L9" s="82">
        <v>13733.013887999999</v>
      </c>
      <c r="M9" s="82">
        <v>13733.013887999999</v>
      </c>
      <c r="N9" s="82">
        <v>13733.013887999999</v>
      </c>
      <c r="O9" s="82">
        <v>13733.013887999999</v>
      </c>
      <c r="P9" s="82">
        <v>19162.344960000006</v>
      </c>
      <c r="Q9" s="82">
        <v>19162.344960000006</v>
      </c>
      <c r="R9" s="82">
        <v>19162.344960000006</v>
      </c>
      <c r="S9" s="82">
        <v>19162.344960000006</v>
      </c>
      <c r="T9" s="82">
        <v>19162.344960000006</v>
      </c>
      <c r="U9" s="83" t="s">
        <v>167</v>
      </c>
      <c r="V9" s="83" t="s">
        <v>167</v>
      </c>
      <c r="W9" s="83" t="s">
        <v>167</v>
      </c>
      <c r="X9" s="83" t="s">
        <v>167</v>
      </c>
      <c r="Y9" s="83" t="s">
        <v>167</v>
      </c>
    </row>
    <row r="10" spans="2:25" s="9" customFormat="1" ht="58.5" customHeight="1" x14ac:dyDescent="0.3">
      <c r="B10" s="7" t="s">
        <v>89</v>
      </c>
      <c r="C10" s="7" t="s">
        <v>103</v>
      </c>
      <c r="D10" s="10" t="s">
        <v>114</v>
      </c>
      <c r="E10" s="10" t="s">
        <v>116</v>
      </c>
      <c r="F10" s="10" t="s">
        <v>23</v>
      </c>
      <c r="G10" s="7">
        <v>30</v>
      </c>
      <c r="H10" s="7">
        <v>31</v>
      </c>
      <c r="I10" s="7">
        <v>30</v>
      </c>
      <c r="J10" s="7">
        <v>30</v>
      </c>
      <c r="K10" s="7">
        <v>30</v>
      </c>
      <c r="L10" s="7">
        <v>30</v>
      </c>
      <c r="M10" s="7">
        <v>30</v>
      </c>
      <c r="N10" s="7">
        <v>30</v>
      </c>
      <c r="O10" s="7">
        <v>30</v>
      </c>
      <c r="P10" s="7">
        <v>31</v>
      </c>
      <c r="Q10" s="7">
        <v>31</v>
      </c>
      <c r="R10" s="7">
        <v>31</v>
      </c>
      <c r="S10" s="7">
        <v>31</v>
      </c>
      <c r="T10" s="7">
        <v>30</v>
      </c>
      <c r="U10" s="15" t="s">
        <v>167</v>
      </c>
      <c r="V10" s="15" t="s">
        <v>167</v>
      </c>
      <c r="W10" s="15" t="s">
        <v>167</v>
      </c>
      <c r="X10" s="15" t="s">
        <v>167</v>
      </c>
      <c r="Y10" s="15" t="s">
        <v>167</v>
      </c>
    </row>
    <row r="11" spans="2:25" s="9" customFormat="1" x14ac:dyDescent="0.3">
      <c r="B11" s="7" t="s">
        <v>90</v>
      </c>
      <c r="C11" s="7" t="s">
        <v>103</v>
      </c>
      <c r="D11" s="10" t="s">
        <v>114</v>
      </c>
      <c r="E11" s="10" t="s">
        <v>116</v>
      </c>
      <c r="F11" s="10" t="s">
        <v>23</v>
      </c>
      <c r="G11" s="7">
        <v>140</v>
      </c>
      <c r="H11" s="7">
        <v>33</v>
      </c>
      <c r="I11" s="7">
        <v>140</v>
      </c>
      <c r="J11" s="7">
        <v>30</v>
      </c>
      <c r="K11" s="7">
        <v>140</v>
      </c>
      <c r="L11" s="7">
        <v>140</v>
      </c>
      <c r="M11" s="7">
        <v>140</v>
      </c>
      <c r="N11" s="7">
        <v>140</v>
      </c>
      <c r="O11" s="7">
        <v>140</v>
      </c>
      <c r="P11" s="7">
        <v>33</v>
      </c>
      <c r="Q11" s="7">
        <v>33</v>
      </c>
      <c r="R11" s="7">
        <v>33</v>
      </c>
      <c r="S11" s="7">
        <v>33</v>
      </c>
      <c r="T11" s="7">
        <v>30</v>
      </c>
      <c r="U11" s="15" t="s">
        <v>167</v>
      </c>
      <c r="V11" s="15" t="s">
        <v>167</v>
      </c>
      <c r="W11" s="15" t="s">
        <v>167</v>
      </c>
      <c r="X11" s="15" t="s">
        <v>167</v>
      </c>
      <c r="Y11" s="15" t="s">
        <v>167</v>
      </c>
    </row>
    <row r="12" spans="2:25" ht="43.5" customHeight="1" x14ac:dyDescent="0.3">
      <c r="B12" s="3" t="s">
        <v>80</v>
      </c>
      <c r="C12" s="3" t="s">
        <v>103</v>
      </c>
      <c r="D12" s="10" t="s">
        <v>114</v>
      </c>
      <c r="E12" s="6" t="s">
        <v>116</v>
      </c>
      <c r="F12" s="6" t="s">
        <v>23</v>
      </c>
      <c r="G12" s="69">
        <v>396.16310399999998</v>
      </c>
      <c r="H12" s="69">
        <v>35676.370560000003</v>
      </c>
      <c r="I12" s="3">
        <v>416.3714037828114</v>
      </c>
      <c r="J12" s="3">
        <v>37496.224009651763</v>
      </c>
      <c r="K12" s="69">
        <v>400.12473503999996</v>
      </c>
      <c r="L12" s="69">
        <v>404.12598239039994</v>
      </c>
      <c r="M12" s="69">
        <v>408.16724221430394</v>
      </c>
      <c r="N12" s="69">
        <v>412.24891463644695</v>
      </c>
      <c r="O12" s="69">
        <v>416.3714037828114</v>
      </c>
      <c r="P12" s="69">
        <v>36033.134265600005</v>
      </c>
      <c r="Q12" s="69">
        <v>36393.465608256003</v>
      </c>
      <c r="R12" s="69">
        <v>36757.400264338561</v>
      </c>
      <c r="S12" s="69">
        <v>37124.974266981946</v>
      </c>
      <c r="T12" s="69">
        <v>37496.224009651763</v>
      </c>
      <c r="U12" s="15" t="s">
        <v>167</v>
      </c>
      <c r="V12" s="15" t="s">
        <v>167</v>
      </c>
      <c r="W12" s="15" t="s">
        <v>167</v>
      </c>
      <c r="X12" s="15" t="s">
        <v>167</v>
      </c>
      <c r="Y12" s="15" t="s">
        <v>167</v>
      </c>
    </row>
    <row r="13" spans="2:25" ht="27.6" x14ac:dyDescent="0.3">
      <c r="B13" s="3" t="s">
        <v>8</v>
      </c>
      <c r="C13" s="3" t="s">
        <v>102</v>
      </c>
      <c r="D13" s="3" t="s">
        <v>128</v>
      </c>
      <c r="E13" s="3" t="s">
        <v>129</v>
      </c>
      <c r="F13" s="3" t="s">
        <v>3</v>
      </c>
      <c r="G13" s="18">
        <v>1380360</v>
      </c>
      <c r="H13" s="18">
        <v>928500</v>
      </c>
      <c r="I13" s="71">
        <v>271962</v>
      </c>
      <c r="J13" s="18">
        <v>291388</v>
      </c>
      <c r="K13" s="18">
        <v>1558677.8</v>
      </c>
      <c r="L13" s="18">
        <v>1726225.5</v>
      </c>
      <c r="M13" s="18">
        <v>1238596.7</v>
      </c>
      <c r="N13" s="18">
        <v>906538.8</v>
      </c>
      <c r="O13" s="18">
        <v>271962</v>
      </c>
      <c r="P13" s="18">
        <v>1670011</v>
      </c>
      <c r="Q13" s="18">
        <v>1849525</v>
      </c>
      <c r="R13" s="18">
        <v>971291.6</v>
      </c>
      <c r="S13" s="18">
        <v>327067.90000000002</v>
      </c>
      <c r="T13" s="18">
        <v>291388</v>
      </c>
      <c r="U13" s="15">
        <v>0</v>
      </c>
      <c r="V13" s="15">
        <v>0</v>
      </c>
      <c r="W13" s="15">
        <v>0</v>
      </c>
      <c r="X13" s="15">
        <v>0</v>
      </c>
      <c r="Y13" s="15">
        <v>0</v>
      </c>
    </row>
    <row r="14" spans="2:25" s="9" customFormat="1" ht="57.75" customHeight="1" x14ac:dyDescent="0.3">
      <c r="B14" s="7" t="s">
        <v>24</v>
      </c>
      <c r="C14" s="7" t="s">
        <v>101</v>
      </c>
      <c r="D14" s="7" t="s">
        <v>123</v>
      </c>
      <c r="E14" s="7" t="s">
        <v>124</v>
      </c>
      <c r="F14" s="7" t="s">
        <v>23</v>
      </c>
      <c r="G14" s="18">
        <v>27800</v>
      </c>
      <c r="H14" s="18">
        <v>2230</v>
      </c>
      <c r="I14" s="78">
        <v>16516.2</v>
      </c>
      <c r="J14" s="18">
        <v>5505.4</v>
      </c>
      <c r="K14" s="18">
        <v>22394.9</v>
      </c>
      <c r="L14" s="18">
        <v>25940.7</v>
      </c>
      <c r="M14" s="18">
        <v>25940.7</v>
      </c>
      <c r="N14" s="18">
        <v>15023.2</v>
      </c>
      <c r="O14" s="18">
        <v>16516.2</v>
      </c>
      <c r="P14" s="18">
        <v>2230</v>
      </c>
      <c r="Q14" s="18">
        <v>3732.5</v>
      </c>
      <c r="R14" s="18">
        <v>4323.5</v>
      </c>
      <c r="S14" s="18">
        <v>5007.7</v>
      </c>
      <c r="T14" s="18">
        <v>5505.4</v>
      </c>
      <c r="U14" s="15" t="s">
        <v>166</v>
      </c>
      <c r="V14" s="15" t="s">
        <v>166</v>
      </c>
      <c r="W14" s="15" t="s">
        <v>166</v>
      </c>
      <c r="X14" s="15" t="s">
        <v>166</v>
      </c>
      <c r="Y14" s="15" t="s">
        <v>166</v>
      </c>
    </row>
    <row r="15" spans="2:25" ht="36.75" customHeight="1" x14ac:dyDescent="0.3">
      <c r="B15" s="7" t="s">
        <v>26</v>
      </c>
      <c r="C15" s="3" t="s">
        <v>101</v>
      </c>
      <c r="D15" s="3" t="s">
        <v>121</v>
      </c>
      <c r="E15" s="3" t="s">
        <v>122</v>
      </c>
      <c r="F15" s="3" t="s">
        <v>23</v>
      </c>
      <c r="G15" s="18">
        <v>15170</v>
      </c>
      <c r="H15" s="18">
        <v>3580</v>
      </c>
      <c r="I15" s="78">
        <v>37063</v>
      </c>
      <c r="J15" s="18">
        <v>8747</v>
      </c>
      <c r="K15" s="18">
        <v>20961</v>
      </c>
      <c r="L15" s="18">
        <v>31516</v>
      </c>
      <c r="M15" s="18">
        <v>30886</v>
      </c>
      <c r="N15" s="18">
        <v>37063</v>
      </c>
      <c r="O15" s="18">
        <v>37063</v>
      </c>
      <c r="P15" s="18">
        <v>4947</v>
      </c>
      <c r="Q15" s="18">
        <v>7438</v>
      </c>
      <c r="R15" s="18">
        <v>7289</v>
      </c>
      <c r="S15" s="18">
        <v>8747</v>
      </c>
      <c r="T15" s="18">
        <v>8747</v>
      </c>
      <c r="U15" s="15" t="s">
        <v>166</v>
      </c>
      <c r="V15" s="15" t="s">
        <v>166</v>
      </c>
      <c r="W15" s="15" t="s">
        <v>166</v>
      </c>
      <c r="X15" s="15" t="s">
        <v>166</v>
      </c>
      <c r="Y15" s="15" t="s">
        <v>166</v>
      </c>
    </row>
    <row r="16" spans="2:25" x14ac:dyDescent="0.3">
      <c r="B16" s="3" t="s">
        <v>31</v>
      </c>
      <c r="C16" s="3" t="s">
        <v>101</v>
      </c>
      <c r="D16" s="3" t="s">
        <v>121</v>
      </c>
      <c r="E16" s="3" t="s">
        <v>122</v>
      </c>
      <c r="F16" s="3" t="s">
        <v>23</v>
      </c>
      <c r="G16" s="3">
        <v>200</v>
      </c>
      <c r="H16" s="3">
        <v>110</v>
      </c>
      <c r="I16" s="3">
        <v>200</v>
      </c>
      <c r="J16" s="3">
        <v>110</v>
      </c>
      <c r="K16" s="3">
        <v>200</v>
      </c>
      <c r="L16" s="3">
        <v>200</v>
      </c>
      <c r="M16" s="3">
        <v>200</v>
      </c>
      <c r="N16" s="3">
        <v>200</v>
      </c>
      <c r="O16" s="3">
        <v>200</v>
      </c>
      <c r="P16" s="3">
        <v>110</v>
      </c>
      <c r="Q16" s="3">
        <v>110</v>
      </c>
      <c r="R16" s="3">
        <v>110</v>
      </c>
      <c r="S16" s="3">
        <v>110</v>
      </c>
      <c r="T16" s="3">
        <v>110</v>
      </c>
      <c r="U16" s="15" t="s">
        <v>166</v>
      </c>
      <c r="V16" s="15" t="s">
        <v>166</v>
      </c>
      <c r="W16" s="15" t="s">
        <v>166</v>
      </c>
      <c r="X16" s="15" t="s">
        <v>166</v>
      </c>
      <c r="Y16" s="15" t="s">
        <v>166</v>
      </c>
    </row>
    <row r="17" spans="2:25" x14ac:dyDescent="0.3">
      <c r="B17" s="3" t="s">
        <v>33</v>
      </c>
      <c r="C17" s="3" t="s">
        <v>101</v>
      </c>
      <c r="D17" s="3" t="s">
        <v>125</v>
      </c>
      <c r="E17" s="3" t="s">
        <v>126</v>
      </c>
      <c r="F17" s="3" t="s">
        <v>23</v>
      </c>
      <c r="G17" s="3">
        <v>280</v>
      </c>
      <c r="H17" s="3">
        <v>390</v>
      </c>
      <c r="I17" s="3">
        <v>280</v>
      </c>
      <c r="J17" s="3">
        <v>390</v>
      </c>
      <c r="K17" s="3">
        <v>280</v>
      </c>
      <c r="L17" s="3">
        <v>280</v>
      </c>
      <c r="M17" s="3">
        <v>280</v>
      </c>
      <c r="N17" s="3">
        <v>280</v>
      </c>
      <c r="O17" s="3">
        <v>280</v>
      </c>
      <c r="P17" s="3">
        <v>390</v>
      </c>
      <c r="Q17" s="3">
        <v>390</v>
      </c>
      <c r="R17" s="3">
        <v>390</v>
      </c>
      <c r="S17" s="3">
        <v>390</v>
      </c>
      <c r="T17" s="3">
        <v>390</v>
      </c>
      <c r="U17" s="15" t="s">
        <v>166</v>
      </c>
      <c r="V17" s="15" t="s">
        <v>166</v>
      </c>
      <c r="W17" s="15" t="s">
        <v>166</v>
      </c>
      <c r="X17" s="15" t="s">
        <v>166</v>
      </c>
      <c r="Y17" s="15" t="s">
        <v>166</v>
      </c>
    </row>
    <row r="18" spans="2:25" ht="33" customHeight="1" x14ac:dyDescent="0.3">
      <c r="B18" s="7" t="s">
        <v>35</v>
      </c>
      <c r="C18" s="3" t="s">
        <v>101</v>
      </c>
      <c r="D18" s="3" t="s">
        <v>121</v>
      </c>
      <c r="E18" s="3" t="s">
        <v>122</v>
      </c>
      <c r="F18" s="3" t="s">
        <v>23</v>
      </c>
      <c r="G18" s="18">
        <v>19584.920000000002</v>
      </c>
      <c r="H18" s="18">
        <v>5964.54</v>
      </c>
      <c r="I18" s="71">
        <v>23697.760000000002</v>
      </c>
      <c r="J18" s="18">
        <v>7217.09</v>
      </c>
      <c r="K18" s="18">
        <v>19584.920000000002</v>
      </c>
      <c r="L18" s="18">
        <v>21543.919999999998</v>
      </c>
      <c r="M18" s="18">
        <v>21543.919999999998</v>
      </c>
      <c r="N18" s="18">
        <v>23697.760000000002</v>
      </c>
      <c r="O18" s="18">
        <v>23697.760000000002</v>
      </c>
      <c r="P18" s="18">
        <v>5964.54</v>
      </c>
      <c r="Q18" s="18">
        <v>6561</v>
      </c>
      <c r="R18" s="18">
        <v>6561</v>
      </c>
      <c r="S18" s="18">
        <v>7217.09</v>
      </c>
      <c r="T18" s="18">
        <v>7217.09</v>
      </c>
      <c r="U18" s="15" t="s">
        <v>166</v>
      </c>
      <c r="V18" s="15" t="s">
        <v>166</v>
      </c>
      <c r="W18" s="15" t="s">
        <v>166</v>
      </c>
      <c r="X18" s="15" t="s">
        <v>166</v>
      </c>
      <c r="Y18" s="15" t="s">
        <v>166</v>
      </c>
    </row>
    <row r="19" spans="2:25" x14ac:dyDescent="0.3">
      <c r="B19" s="3" t="s">
        <v>38</v>
      </c>
      <c r="C19" s="3" t="s">
        <v>101</v>
      </c>
      <c r="D19" s="3" t="s">
        <v>121</v>
      </c>
      <c r="E19" s="3" t="s">
        <v>122</v>
      </c>
      <c r="F19" s="3" t="s">
        <v>23</v>
      </c>
      <c r="G19" s="3">
        <v>1950</v>
      </c>
      <c r="H19" s="3">
        <v>340</v>
      </c>
      <c r="I19" s="3">
        <v>1950</v>
      </c>
      <c r="J19" s="3">
        <v>340</v>
      </c>
      <c r="K19" s="3">
        <v>1950</v>
      </c>
      <c r="L19" s="3">
        <v>1950</v>
      </c>
      <c r="M19" s="3">
        <v>1950</v>
      </c>
      <c r="N19" s="3">
        <v>1950</v>
      </c>
      <c r="O19" s="3">
        <v>1950</v>
      </c>
      <c r="P19" s="3">
        <v>340</v>
      </c>
      <c r="Q19" s="3">
        <v>340</v>
      </c>
      <c r="R19" s="3">
        <v>340</v>
      </c>
      <c r="S19" s="3">
        <v>340</v>
      </c>
      <c r="T19" s="3">
        <v>340</v>
      </c>
      <c r="U19" s="15" t="s">
        <v>166</v>
      </c>
      <c r="V19" s="15" t="s">
        <v>166</v>
      </c>
      <c r="W19" s="15" t="s">
        <v>166</v>
      </c>
      <c r="X19" s="15" t="s">
        <v>166</v>
      </c>
      <c r="Y19" s="15" t="s">
        <v>166</v>
      </c>
    </row>
    <row r="20" spans="2:25" x14ac:dyDescent="0.3">
      <c r="B20" s="3" t="s">
        <v>39</v>
      </c>
      <c r="C20" s="3" t="s">
        <v>101</v>
      </c>
      <c r="D20" s="3" t="s">
        <v>123</v>
      </c>
      <c r="E20" s="3" t="s">
        <v>124</v>
      </c>
      <c r="F20" s="3" t="s">
        <v>23</v>
      </c>
      <c r="G20" s="3">
        <v>110</v>
      </c>
      <c r="H20" s="3">
        <v>890</v>
      </c>
      <c r="I20" s="3">
        <v>110</v>
      </c>
      <c r="J20" s="3">
        <v>890</v>
      </c>
      <c r="K20" s="3">
        <v>110</v>
      </c>
      <c r="L20" s="3">
        <v>110</v>
      </c>
      <c r="M20" s="3">
        <v>110</v>
      </c>
      <c r="N20" s="3">
        <v>110</v>
      </c>
      <c r="O20" s="3">
        <v>110</v>
      </c>
      <c r="P20" s="3">
        <v>890</v>
      </c>
      <c r="Q20" s="3">
        <v>890</v>
      </c>
      <c r="R20" s="3">
        <v>890</v>
      </c>
      <c r="S20" s="3">
        <v>890</v>
      </c>
      <c r="T20" s="3">
        <v>890</v>
      </c>
      <c r="U20" s="15" t="s">
        <v>166</v>
      </c>
      <c r="V20" s="15" t="s">
        <v>166</v>
      </c>
      <c r="W20" s="15" t="s">
        <v>166</v>
      </c>
      <c r="X20" s="15" t="s">
        <v>166</v>
      </c>
      <c r="Y20" s="15" t="s">
        <v>166</v>
      </c>
    </row>
    <row r="21" spans="2:25" ht="42.75" customHeight="1" x14ac:dyDescent="0.3">
      <c r="B21" s="3" t="s">
        <v>41</v>
      </c>
      <c r="C21" s="3" t="s">
        <v>101</v>
      </c>
      <c r="D21" s="3" t="s">
        <v>125</v>
      </c>
      <c r="E21" s="3" t="s">
        <v>126</v>
      </c>
      <c r="F21" s="3" t="s">
        <v>23</v>
      </c>
      <c r="G21" s="18">
        <v>277130</v>
      </c>
      <c r="H21" s="18">
        <v>8470</v>
      </c>
      <c r="I21" s="71">
        <v>75690</v>
      </c>
      <c r="J21" s="18">
        <v>8470</v>
      </c>
      <c r="K21" s="18">
        <v>277130</v>
      </c>
      <c r="L21" s="18">
        <v>277130</v>
      </c>
      <c r="M21" s="18">
        <v>165560</v>
      </c>
      <c r="N21" s="18">
        <v>118300</v>
      </c>
      <c r="O21" s="18">
        <v>75690</v>
      </c>
      <c r="P21" s="18">
        <v>8470</v>
      </c>
      <c r="Q21" s="18">
        <v>8470</v>
      </c>
      <c r="R21" s="18">
        <v>8470</v>
      </c>
      <c r="S21" s="18">
        <v>8470</v>
      </c>
      <c r="T21" s="18">
        <v>8470</v>
      </c>
      <c r="U21" s="15" t="s">
        <v>166</v>
      </c>
      <c r="V21" s="15" t="s">
        <v>166</v>
      </c>
      <c r="W21" s="15" t="s">
        <v>166</v>
      </c>
      <c r="X21" s="15" t="s">
        <v>166</v>
      </c>
      <c r="Y21" s="15" t="s">
        <v>166</v>
      </c>
    </row>
    <row r="22" spans="2:25" ht="34.5" customHeight="1" x14ac:dyDescent="0.3">
      <c r="B22" s="3" t="s">
        <v>169</v>
      </c>
      <c r="C22" s="3" t="s">
        <v>104</v>
      </c>
      <c r="D22" s="3" t="s">
        <v>125</v>
      </c>
      <c r="E22" s="3" t="s">
        <v>126</v>
      </c>
      <c r="F22" s="3" t="s">
        <v>23</v>
      </c>
      <c r="G22" s="3">
        <v>340</v>
      </c>
      <c r="H22" s="3">
        <v>1080</v>
      </c>
      <c r="I22" s="3">
        <v>340</v>
      </c>
      <c r="J22" s="3">
        <v>1080</v>
      </c>
      <c r="K22" s="3">
        <v>340</v>
      </c>
      <c r="L22" s="3">
        <v>340</v>
      </c>
      <c r="M22" s="3">
        <v>340</v>
      </c>
      <c r="N22" s="3">
        <v>340</v>
      </c>
      <c r="O22" s="3">
        <v>340</v>
      </c>
      <c r="P22" s="3">
        <v>1080</v>
      </c>
      <c r="Q22" s="3">
        <v>1080</v>
      </c>
      <c r="R22" s="3">
        <v>1080</v>
      </c>
      <c r="S22" s="3">
        <v>1080</v>
      </c>
      <c r="T22" s="3">
        <v>1080</v>
      </c>
      <c r="U22" s="15" t="s">
        <v>167</v>
      </c>
      <c r="V22" s="15" t="s">
        <v>167</v>
      </c>
      <c r="W22" s="15" t="s">
        <v>167</v>
      </c>
      <c r="X22" s="15" t="s">
        <v>167</v>
      </c>
      <c r="Y22" s="15" t="s">
        <v>167</v>
      </c>
    </row>
    <row r="23" spans="2:25" x14ac:dyDescent="0.3">
      <c r="B23" s="3" t="s">
        <v>52</v>
      </c>
      <c r="C23" s="3" t="s">
        <v>101</v>
      </c>
      <c r="D23" s="3" t="s">
        <v>125</v>
      </c>
      <c r="E23" s="3" t="s">
        <v>126</v>
      </c>
      <c r="F23" s="3" t="s">
        <v>23</v>
      </c>
      <c r="G23" s="3">
        <v>340</v>
      </c>
      <c r="H23" s="3">
        <v>850</v>
      </c>
      <c r="I23" s="3">
        <v>340</v>
      </c>
      <c r="J23" s="3">
        <v>850</v>
      </c>
      <c r="K23" s="3">
        <v>340</v>
      </c>
      <c r="L23" s="3">
        <v>340</v>
      </c>
      <c r="M23" s="3">
        <v>340</v>
      </c>
      <c r="N23" s="3">
        <v>340</v>
      </c>
      <c r="O23" s="3">
        <v>340</v>
      </c>
      <c r="P23" s="3">
        <v>850</v>
      </c>
      <c r="Q23" s="3">
        <v>850</v>
      </c>
      <c r="R23" s="3">
        <v>850</v>
      </c>
      <c r="S23" s="3">
        <v>850</v>
      </c>
      <c r="T23" s="3">
        <v>850</v>
      </c>
      <c r="U23" s="15" t="s">
        <v>167</v>
      </c>
      <c r="V23" s="15" t="s">
        <v>167</v>
      </c>
      <c r="W23" s="15" t="s">
        <v>167</v>
      </c>
      <c r="X23" s="15" t="s">
        <v>167</v>
      </c>
      <c r="Y23" s="15" t="s">
        <v>167</v>
      </c>
    </row>
    <row r="24" spans="2:25" x14ac:dyDescent="0.3">
      <c r="B24" s="3" t="s">
        <v>168</v>
      </c>
      <c r="C24" s="3" t="s">
        <v>101</v>
      </c>
      <c r="D24" s="3" t="s">
        <v>121</v>
      </c>
      <c r="E24" s="3" t="s">
        <v>122</v>
      </c>
      <c r="F24" s="3" t="s">
        <v>23</v>
      </c>
      <c r="G24" s="3">
        <v>7000</v>
      </c>
      <c r="H24" s="3">
        <v>1340</v>
      </c>
      <c r="I24" s="3">
        <v>5600</v>
      </c>
      <c r="J24" s="3">
        <v>1070</v>
      </c>
      <c r="K24" s="3">
        <v>7000</v>
      </c>
      <c r="L24" s="3">
        <v>7000</v>
      </c>
      <c r="M24" s="3">
        <v>7000</v>
      </c>
      <c r="N24" s="3">
        <v>7000</v>
      </c>
      <c r="O24" s="3">
        <v>5600</v>
      </c>
      <c r="P24" s="3">
        <v>1340</v>
      </c>
      <c r="Q24" s="3">
        <v>1340</v>
      </c>
      <c r="R24" s="3">
        <v>1340</v>
      </c>
      <c r="S24" s="3">
        <v>1340</v>
      </c>
      <c r="T24" s="3">
        <v>1070</v>
      </c>
      <c r="U24" s="15" t="s">
        <v>167</v>
      </c>
      <c r="V24" s="15" t="s">
        <v>167</v>
      </c>
      <c r="W24" s="15" t="s">
        <v>167</v>
      </c>
      <c r="X24" s="15" t="s">
        <v>167</v>
      </c>
      <c r="Y24" s="15" t="s">
        <v>167</v>
      </c>
    </row>
    <row r="25" spans="2:25" ht="53.25" customHeight="1" x14ac:dyDescent="0.3">
      <c r="B25" s="3" t="s">
        <v>56</v>
      </c>
      <c r="C25" s="3" t="s">
        <v>101</v>
      </c>
      <c r="D25" s="3" t="s">
        <v>121</v>
      </c>
      <c r="E25" s="3" t="s">
        <v>122</v>
      </c>
      <c r="F25" s="3" t="s">
        <v>23</v>
      </c>
      <c r="G25" s="3">
        <v>29230</v>
      </c>
      <c r="H25" s="3">
        <v>5280</v>
      </c>
      <c r="I25" s="3">
        <v>17360</v>
      </c>
      <c r="J25" s="3">
        <v>3140</v>
      </c>
      <c r="K25" s="3">
        <v>29230</v>
      </c>
      <c r="L25" s="3">
        <v>29230</v>
      </c>
      <c r="M25" s="3">
        <v>29230</v>
      </c>
      <c r="N25" s="3">
        <v>29230</v>
      </c>
      <c r="O25" s="3">
        <v>17360</v>
      </c>
      <c r="P25" s="3">
        <v>5280</v>
      </c>
      <c r="Q25" s="3">
        <v>5280</v>
      </c>
      <c r="R25" s="3">
        <v>5280</v>
      </c>
      <c r="S25" s="3">
        <v>5280</v>
      </c>
      <c r="T25" s="3">
        <v>3140</v>
      </c>
      <c r="U25" s="15" t="s">
        <v>167</v>
      </c>
      <c r="V25" s="15" t="s">
        <v>167</v>
      </c>
      <c r="W25" s="15" t="s">
        <v>167</v>
      </c>
      <c r="X25" s="15" t="s">
        <v>167</v>
      </c>
      <c r="Y25" s="15" t="s">
        <v>167</v>
      </c>
    </row>
    <row r="26" spans="2:25" x14ac:dyDescent="0.3">
      <c r="B26" s="3" t="s">
        <v>59</v>
      </c>
      <c r="C26" s="3" t="s">
        <v>101</v>
      </c>
      <c r="D26" s="3" t="s">
        <v>119</v>
      </c>
      <c r="E26" s="3" t="s">
        <v>120</v>
      </c>
      <c r="F26" s="3" t="s">
        <v>23</v>
      </c>
      <c r="G26" s="18">
        <v>70</v>
      </c>
      <c r="H26" s="18">
        <v>30</v>
      </c>
      <c r="I26" s="18">
        <v>70</v>
      </c>
      <c r="J26" s="18">
        <v>30</v>
      </c>
      <c r="K26" s="18">
        <v>70</v>
      </c>
      <c r="L26" s="18">
        <v>70</v>
      </c>
      <c r="M26" s="18">
        <v>70</v>
      </c>
      <c r="N26" s="18">
        <v>70</v>
      </c>
      <c r="O26" s="18">
        <v>70</v>
      </c>
      <c r="P26" s="18">
        <v>30</v>
      </c>
      <c r="Q26" s="18">
        <v>30</v>
      </c>
      <c r="R26" s="18">
        <v>30</v>
      </c>
      <c r="S26" s="18">
        <v>30</v>
      </c>
      <c r="T26" s="18">
        <v>30</v>
      </c>
      <c r="U26" s="19" t="s">
        <v>167</v>
      </c>
      <c r="V26" s="19" t="s">
        <v>167</v>
      </c>
      <c r="W26" s="19" t="s">
        <v>167</v>
      </c>
      <c r="X26" s="19" t="s">
        <v>167</v>
      </c>
      <c r="Y26" s="19" t="s">
        <v>167</v>
      </c>
    </row>
    <row r="27" spans="2:25" x14ac:dyDescent="0.3">
      <c r="B27" s="3" t="s">
        <v>62</v>
      </c>
      <c r="C27" s="3" t="s">
        <v>101</v>
      </c>
      <c r="D27" s="3" t="s">
        <v>125</v>
      </c>
      <c r="E27" s="3" t="s">
        <v>126</v>
      </c>
      <c r="F27" s="3" t="s">
        <v>23</v>
      </c>
      <c r="G27" s="18">
        <v>1700</v>
      </c>
      <c r="H27" s="18">
        <v>3540</v>
      </c>
      <c r="I27" s="18">
        <v>1810</v>
      </c>
      <c r="J27" s="18">
        <v>1770</v>
      </c>
      <c r="K27" s="18">
        <v>1700</v>
      </c>
      <c r="L27" s="18">
        <v>1700</v>
      </c>
      <c r="M27" s="18">
        <v>1700</v>
      </c>
      <c r="N27" s="18">
        <v>1700</v>
      </c>
      <c r="O27" s="18">
        <v>1810</v>
      </c>
      <c r="P27" s="18">
        <v>3540</v>
      </c>
      <c r="Q27" s="18">
        <v>3540</v>
      </c>
      <c r="R27" s="18">
        <v>3540</v>
      </c>
      <c r="S27" s="18">
        <v>3540</v>
      </c>
      <c r="T27" s="18">
        <v>1770</v>
      </c>
      <c r="U27" s="19" t="s">
        <v>167</v>
      </c>
      <c r="V27" s="19" t="s">
        <v>167</v>
      </c>
      <c r="W27" s="19" t="s">
        <v>167</v>
      </c>
      <c r="X27" s="19" t="s">
        <v>167</v>
      </c>
      <c r="Y27" s="19" t="s">
        <v>167</v>
      </c>
    </row>
    <row r="28" spans="2:25" x14ac:dyDescent="0.3">
      <c r="B28" s="7" t="s">
        <v>65</v>
      </c>
      <c r="C28" s="3" t="s">
        <v>101</v>
      </c>
      <c r="D28" s="3" t="s">
        <v>123</v>
      </c>
      <c r="E28" s="3" t="s">
        <v>124</v>
      </c>
      <c r="F28" s="3" t="s">
        <v>23</v>
      </c>
      <c r="G28" s="18">
        <v>890</v>
      </c>
      <c r="H28" s="18">
        <v>1440</v>
      </c>
      <c r="I28" s="18">
        <v>890</v>
      </c>
      <c r="J28" s="18">
        <v>1440</v>
      </c>
      <c r="K28" s="18">
        <v>890</v>
      </c>
      <c r="L28" s="18">
        <v>890</v>
      </c>
      <c r="M28" s="18">
        <v>890</v>
      </c>
      <c r="N28" s="18">
        <v>890</v>
      </c>
      <c r="O28" s="18">
        <v>890</v>
      </c>
      <c r="P28" s="18">
        <v>1440</v>
      </c>
      <c r="Q28" s="18">
        <v>1440</v>
      </c>
      <c r="R28" s="18">
        <v>1440</v>
      </c>
      <c r="S28" s="18">
        <v>1440</v>
      </c>
      <c r="T28" s="18">
        <v>1440</v>
      </c>
      <c r="U28" s="19" t="s">
        <v>167</v>
      </c>
      <c r="V28" s="19" t="s">
        <v>167</v>
      </c>
      <c r="W28" s="19" t="s">
        <v>167</v>
      </c>
      <c r="X28" s="19" t="s">
        <v>167</v>
      </c>
      <c r="Y28" s="19" t="s">
        <v>167</v>
      </c>
    </row>
    <row r="29" spans="2:25" x14ac:dyDescent="0.3">
      <c r="B29" s="3" t="s">
        <v>66</v>
      </c>
      <c r="C29" s="3" t="s">
        <v>101</v>
      </c>
      <c r="D29" s="3" t="s">
        <v>125</v>
      </c>
      <c r="E29" s="3" t="s">
        <v>126</v>
      </c>
      <c r="F29" s="3" t="s">
        <v>23</v>
      </c>
      <c r="G29" s="18">
        <v>15.12</v>
      </c>
      <c r="H29" s="18">
        <v>39</v>
      </c>
      <c r="I29" s="71">
        <v>24.1</v>
      </c>
      <c r="J29" s="18">
        <v>62.3</v>
      </c>
      <c r="K29" s="18">
        <v>15.12</v>
      </c>
      <c r="L29" s="18">
        <v>18.14</v>
      </c>
      <c r="M29" s="18">
        <v>19.940000000000001</v>
      </c>
      <c r="N29" s="18">
        <v>21.91</v>
      </c>
      <c r="O29" s="18">
        <v>24.1</v>
      </c>
      <c r="P29" s="18">
        <v>39</v>
      </c>
      <c r="Q29" s="18">
        <v>46.8</v>
      </c>
      <c r="R29" s="18">
        <v>51.48</v>
      </c>
      <c r="S29" s="18">
        <v>56.63</v>
      </c>
      <c r="T29" s="18">
        <v>62.3</v>
      </c>
      <c r="U29" s="15" t="s">
        <v>166</v>
      </c>
      <c r="V29" s="15" t="s">
        <v>166</v>
      </c>
      <c r="W29" s="15" t="s">
        <v>166</v>
      </c>
      <c r="X29" s="15" t="s">
        <v>166</v>
      </c>
      <c r="Y29" s="15" t="s">
        <v>166</v>
      </c>
    </row>
    <row r="30" spans="2:25" x14ac:dyDescent="0.3">
      <c r="B30" s="3" t="s">
        <v>69</v>
      </c>
      <c r="C30" s="3" t="s">
        <v>101</v>
      </c>
      <c r="D30" s="3" t="s">
        <v>125</v>
      </c>
      <c r="E30" s="3" t="s">
        <v>126</v>
      </c>
      <c r="F30" s="3" t="s">
        <v>23</v>
      </c>
      <c r="G30" s="18">
        <v>7180</v>
      </c>
      <c r="H30" s="18">
        <v>7390</v>
      </c>
      <c r="I30" s="78">
        <v>4239</v>
      </c>
      <c r="J30" s="18">
        <v>4363</v>
      </c>
      <c r="K30" s="18">
        <v>6462</v>
      </c>
      <c r="L30" s="18">
        <v>5815</v>
      </c>
      <c r="M30" s="18">
        <v>5234</v>
      </c>
      <c r="N30" s="18">
        <v>4710</v>
      </c>
      <c r="O30" s="18">
        <v>4239</v>
      </c>
      <c r="P30" s="18">
        <v>6641</v>
      </c>
      <c r="Q30" s="18">
        <v>5985</v>
      </c>
      <c r="R30" s="18">
        <v>5387</v>
      </c>
      <c r="S30" s="18">
        <v>4848</v>
      </c>
      <c r="T30" s="18">
        <v>4363</v>
      </c>
      <c r="U30" s="15" t="s">
        <v>166</v>
      </c>
      <c r="V30" s="15" t="s">
        <v>166</v>
      </c>
      <c r="W30" s="15" t="s">
        <v>166</v>
      </c>
      <c r="X30" s="15" t="s">
        <v>166</v>
      </c>
      <c r="Y30" s="15" t="s">
        <v>166</v>
      </c>
    </row>
    <row r="31" spans="2:25" x14ac:dyDescent="0.3">
      <c r="B31" s="3" t="s">
        <v>72</v>
      </c>
      <c r="C31" s="3" t="s">
        <v>104</v>
      </c>
      <c r="D31" s="3" t="s">
        <v>119</v>
      </c>
      <c r="E31" s="3" t="s">
        <v>120</v>
      </c>
      <c r="F31" s="3" t="s">
        <v>23</v>
      </c>
      <c r="G31" s="18">
        <v>1595.1</v>
      </c>
      <c r="H31" s="18">
        <v>5288.9</v>
      </c>
      <c r="I31" s="78">
        <v>1116.5999999999999</v>
      </c>
      <c r="J31" s="18">
        <v>3702.2</v>
      </c>
      <c r="K31" s="18">
        <v>1595.1</v>
      </c>
      <c r="L31" s="18">
        <v>1595.1</v>
      </c>
      <c r="M31" s="18">
        <v>1595.1</v>
      </c>
      <c r="N31" s="18">
        <v>1355.8</v>
      </c>
      <c r="O31" s="18">
        <v>1116.5999999999999</v>
      </c>
      <c r="P31" s="18">
        <v>5288.9</v>
      </c>
      <c r="Q31" s="18">
        <v>5288.9</v>
      </c>
      <c r="R31" s="18">
        <v>5288.9</v>
      </c>
      <c r="S31" s="18">
        <v>4495</v>
      </c>
      <c r="T31" s="18">
        <v>3702.2</v>
      </c>
      <c r="U31" s="15" t="s">
        <v>166</v>
      </c>
      <c r="V31" s="15" t="s">
        <v>166</v>
      </c>
      <c r="W31" s="15" t="s">
        <v>166</v>
      </c>
      <c r="X31" s="15" t="s">
        <v>166</v>
      </c>
      <c r="Y31" s="15" t="s">
        <v>166</v>
      </c>
    </row>
    <row r="32" spans="2:25" ht="32.25" customHeight="1" x14ac:dyDescent="0.3">
      <c r="B32" s="3" t="s">
        <v>76</v>
      </c>
      <c r="C32" s="3" t="s">
        <v>101</v>
      </c>
      <c r="D32" s="3" t="s">
        <v>123</v>
      </c>
      <c r="E32" s="3" t="s">
        <v>124</v>
      </c>
      <c r="F32" s="3" t="s">
        <v>23</v>
      </c>
      <c r="G32" s="18">
        <v>57460</v>
      </c>
      <c r="H32" s="18">
        <v>23960</v>
      </c>
      <c r="I32" s="78">
        <v>25360</v>
      </c>
      <c r="J32" s="18">
        <v>10570</v>
      </c>
      <c r="K32" s="18">
        <v>35130</v>
      </c>
      <c r="L32" s="18">
        <v>32850</v>
      </c>
      <c r="M32" s="18">
        <v>30470</v>
      </c>
      <c r="N32" s="18">
        <v>27970</v>
      </c>
      <c r="O32" s="18">
        <v>25360</v>
      </c>
      <c r="P32" s="18">
        <v>14650</v>
      </c>
      <c r="Q32" s="18">
        <v>13700</v>
      </c>
      <c r="R32" s="18">
        <v>12700</v>
      </c>
      <c r="S32" s="18">
        <v>11660</v>
      </c>
      <c r="T32" s="18">
        <v>10570</v>
      </c>
      <c r="U32" s="15" t="s">
        <v>166</v>
      </c>
      <c r="V32" s="15" t="s">
        <v>166</v>
      </c>
      <c r="W32" s="15" t="s">
        <v>166</v>
      </c>
      <c r="X32" s="15" t="s">
        <v>166</v>
      </c>
      <c r="Y32" s="15" t="s">
        <v>166</v>
      </c>
    </row>
    <row r="33" spans="2:25" s="9" customFormat="1" ht="120.75" customHeight="1" x14ac:dyDescent="0.3">
      <c r="B33" s="7" t="s">
        <v>127</v>
      </c>
      <c r="C33" s="7" t="s">
        <v>101</v>
      </c>
      <c r="D33" s="7" t="s">
        <v>125</v>
      </c>
      <c r="E33" s="3" t="s">
        <v>126</v>
      </c>
      <c r="F33" s="7" t="s">
        <v>23</v>
      </c>
      <c r="G33" s="69">
        <v>3193.4429519999999</v>
      </c>
      <c r="H33" s="69">
        <v>160846.50899999999</v>
      </c>
      <c r="I33" s="3">
        <v>3356.3406369730119</v>
      </c>
      <c r="J33" s="3">
        <v>169051.29748250009</v>
      </c>
      <c r="K33" s="69">
        <v>3225.3773815199997</v>
      </c>
      <c r="L33" s="69">
        <v>3257.6311553351998</v>
      </c>
      <c r="M33" s="69">
        <v>3290.2074668885516</v>
      </c>
      <c r="N33" s="69">
        <v>3323.1095415574373</v>
      </c>
      <c r="O33" s="69">
        <v>3356.3406369730119</v>
      </c>
      <c r="P33" s="69">
        <v>162454.97409</v>
      </c>
      <c r="Q33" s="69">
        <v>164079.5238309</v>
      </c>
      <c r="R33" s="69">
        <v>165720.31906920898</v>
      </c>
      <c r="S33" s="69">
        <v>167377.52225990107</v>
      </c>
      <c r="T33" s="69">
        <v>169051.29748250009</v>
      </c>
      <c r="U33" s="15" t="s">
        <v>167</v>
      </c>
      <c r="V33" s="15" t="s">
        <v>167</v>
      </c>
      <c r="W33" s="15" t="s">
        <v>167</v>
      </c>
      <c r="X33" s="15" t="s">
        <v>167</v>
      </c>
      <c r="Y33" s="15" t="s">
        <v>167</v>
      </c>
    </row>
    <row r="34" spans="2:25" x14ac:dyDescent="0.3">
      <c r="B34" s="3" t="s">
        <v>136</v>
      </c>
      <c r="C34" s="3" t="s">
        <v>104</v>
      </c>
      <c r="D34" s="3" t="s">
        <v>130</v>
      </c>
      <c r="E34" s="3" t="s">
        <v>131</v>
      </c>
      <c r="F34" s="3" t="s">
        <v>23</v>
      </c>
      <c r="G34" s="18">
        <v>103680</v>
      </c>
      <c r="H34" s="18">
        <v>129600</v>
      </c>
      <c r="I34" s="18">
        <v>114471</v>
      </c>
      <c r="J34" s="18">
        <v>143089</v>
      </c>
      <c r="K34" s="18">
        <v>103680</v>
      </c>
      <c r="L34" s="18">
        <v>103680</v>
      </c>
      <c r="M34" s="18">
        <v>103680</v>
      </c>
      <c r="N34" s="18">
        <v>103680</v>
      </c>
      <c r="O34" s="18">
        <v>114471</v>
      </c>
      <c r="P34" s="18">
        <v>129600</v>
      </c>
      <c r="Q34" s="18">
        <v>129600</v>
      </c>
      <c r="R34" s="18">
        <v>129600</v>
      </c>
      <c r="S34" s="18">
        <v>129600</v>
      </c>
      <c r="T34" s="18">
        <v>143089</v>
      </c>
      <c r="U34" s="86">
        <v>0</v>
      </c>
      <c r="V34" s="86">
        <v>0</v>
      </c>
      <c r="W34" s="86">
        <v>0</v>
      </c>
      <c r="X34" s="86">
        <v>0</v>
      </c>
      <c r="Y34" s="86">
        <v>0</v>
      </c>
    </row>
    <row r="35" spans="2:25" s="9" customFormat="1" x14ac:dyDescent="0.3">
      <c r="B35" s="7" t="s">
        <v>85</v>
      </c>
      <c r="C35" s="7" t="s">
        <v>101</v>
      </c>
      <c r="D35" s="10" t="s">
        <v>112</v>
      </c>
      <c r="E35" s="6" t="s">
        <v>109</v>
      </c>
      <c r="F35" s="7" t="s">
        <v>11</v>
      </c>
      <c r="G35" s="18">
        <v>24</v>
      </c>
      <c r="H35" s="18">
        <v>170</v>
      </c>
      <c r="I35" s="18">
        <v>20</v>
      </c>
      <c r="J35" s="18">
        <v>170</v>
      </c>
      <c r="K35" s="18">
        <v>24</v>
      </c>
      <c r="L35" s="18">
        <v>24</v>
      </c>
      <c r="M35" s="18">
        <v>24</v>
      </c>
      <c r="N35" s="18">
        <v>24</v>
      </c>
      <c r="O35" s="18">
        <v>20</v>
      </c>
      <c r="P35" s="18">
        <v>170</v>
      </c>
      <c r="Q35" s="18">
        <v>170</v>
      </c>
      <c r="R35" s="18">
        <v>170</v>
      </c>
      <c r="S35" s="18">
        <v>170</v>
      </c>
      <c r="T35" s="18">
        <v>170</v>
      </c>
      <c r="U35" s="86">
        <v>0</v>
      </c>
      <c r="V35" s="86">
        <v>0</v>
      </c>
      <c r="W35" s="86">
        <v>0</v>
      </c>
      <c r="X35" s="86">
        <v>0</v>
      </c>
      <c r="Y35" s="86">
        <v>0</v>
      </c>
    </row>
    <row r="36" spans="2:25" s="9" customFormat="1" x14ac:dyDescent="0.3">
      <c r="B36" s="7" t="s">
        <v>309</v>
      </c>
      <c r="C36" s="3" t="s">
        <v>101</v>
      </c>
      <c r="D36" s="7" t="s">
        <v>125</v>
      </c>
      <c r="E36" s="3" t="s">
        <v>126</v>
      </c>
      <c r="F36" s="7" t="s">
        <v>23</v>
      </c>
      <c r="G36" s="18">
        <v>2821734.3</v>
      </c>
      <c r="H36" s="18">
        <v>1419110</v>
      </c>
      <c r="I36" s="18">
        <v>2892986.3</v>
      </c>
      <c r="J36" s="18">
        <v>1454942.9999999998</v>
      </c>
      <c r="K36" s="18">
        <v>2821734.3</v>
      </c>
      <c r="L36" s="18">
        <v>2892986.3</v>
      </c>
      <c r="M36" s="18">
        <v>2892986.3</v>
      </c>
      <c r="N36" s="18">
        <v>2892986.3</v>
      </c>
      <c r="O36" s="18">
        <v>2892986.3</v>
      </c>
      <c r="P36" s="18">
        <v>1419110</v>
      </c>
      <c r="Q36" s="18">
        <v>1454942.9999999998</v>
      </c>
      <c r="R36" s="18">
        <v>1454942.9999999998</v>
      </c>
      <c r="S36" s="18">
        <v>1454942.9999999998</v>
      </c>
      <c r="T36" s="18">
        <v>1454942.9999999998</v>
      </c>
      <c r="U36" s="74">
        <v>0</v>
      </c>
      <c r="V36" s="74">
        <v>0</v>
      </c>
      <c r="W36" s="74">
        <v>0</v>
      </c>
      <c r="X36" s="74">
        <v>0</v>
      </c>
      <c r="Y36" s="74">
        <v>1</v>
      </c>
    </row>
    <row r="37" spans="2:25" s="9" customFormat="1" ht="41.4" x14ac:dyDescent="0.3">
      <c r="B37" s="7" t="s">
        <v>308</v>
      </c>
      <c r="C37" s="3" t="s">
        <v>104</v>
      </c>
      <c r="D37" s="3" t="s">
        <v>119</v>
      </c>
      <c r="E37" s="3" t="s">
        <v>120</v>
      </c>
      <c r="F37" s="3" t="s">
        <v>23</v>
      </c>
      <c r="G37" s="18">
        <v>1380848.7</v>
      </c>
      <c r="H37" s="18">
        <v>810920</v>
      </c>
      <c r="I37" s="18">
        <v>1415716.7</v>
      </c>
      <c r="J37" s="18">
        <v>831396</v>
      </c>
      <c r="K37" s="18">
        <v>1380848.7</v>
      </c>
      <c r="L37" s="18">
        <v>1415716.7</v>
      </c>
      <c r="M37" s="18">
        <v>1415716.7</v>
      </c>
      <c r="N37" s="18">
        <v>1415716.7</v>
      </c>
      <c r="O37" s="18">
        <v>1415716.7</v>
      </c>
      <c r="P37" s="18">
        <v>810920</v>
      </c>
      <c r="Q37" s="18">
        <v>831396</v>
      </c>
      <c r="R37" s="18">
        <v>831396</v>
      </c>
      <c r="S37" s="18">
        <v>831396</v>
      </c>
      <c r="T37" s="18">
        <v>831396</v>
      </c>
      <c r="U37" s="74">
        <v>0</v>
      </c>
      <c r="V37" s="74">
        <v>0</v>
      </c>
      <c r="W37" s="74">
        <v>0</v>
      </c>
      <c r="X37" s="74">
        <v>0</v>
      </c>
      <c r="Y37" s="74">
        <v>1</v>
      </c>
    </row>
    <row r="38" spans="2:25" s="9" customFormat="1" x14ac:dyDescent="0.3">
      <c r="B38" s="7" t="s">
        <v>303</v>
      </c>
      <c r="C38" s="7" t="s">
        <v>304</v>
      </c>
      <c r="D38" s="3" t="s">
        <v>121</v>
      </c>
      <c r="E38" s="3" t="s">
        <v>122</v>
      </c>
      <c r="F38" s="3" t="s">
        <v>23</v>
      </c>
      <c r="G38" s="18">
        <v>840516.60000000009</v>
      </c>
      <c r="H38" s="18">
        <v>1621840</v>
      </c>
      <c r="I38" s="18">
        <v>861740.60000000009</v>
      </c>
      <c r="J38" s="18">
        <v>1662792</v>
      </c>
      <c r="K38" s="18">
        <v>840516.60000000009</v>
      </c>
      <c r="L38" s="18">
        <v>861740.60000000009</v>
      </c>
      <c r="M38" s="18">
        <v>861740.60000000009</v>
      </c>
      <c r="N38" s="18">
        <v>861740.60000000009</v>
      </c>
      <c r="O38" s="18">
        <v>861740.60000000009</v>
      </c>
      <c r="P38" s="18">
        <v>1621840</v>
      </c>
      <c r="Q38" s="18">
        <v>1662792</v>
      </c>
      <c r="R38" s="18">
        <v>1662792</v>
      </c>
      <c r="S38" s="18">
        <v>1662792</v>
      </c>
      <c r="T38" s="18">
        <v>1662792</v>
      </c>
      <c r="U38" s="74">
        <v>0</v>
      </c>
      <c r="V38" s="74">
        <v>0</v>
      </c>
      <c r="W38" s="74">
        <v>0</v>
      </c>
      <c r="X38" s="74">
        <v>0</v>
      </c>
      <c r="Y38" s="74">
        <v>1</v>
      </c>
    </row>
    <row r="39" spans="2:25" s="9" customFormat="1" ht="27.6" x14ac:dyDescent="0.3">
      <c r="B39" s="7" t="s">
        <v>305</v>
      </c>
      <c r="C39" s="7" t="s">
        <v>304</v>
      </c>
      <c r="D39" s="3" t="s">
        <v>123</v>
      </c>
      <c r="E39" s="3" t="s">
        <v>124</v>
      </c>
      <c r="F39" s="3" t="s">
        <v>23</v>
      </c>
      <c r="G39" s="18">
        <v>960590.4</v>
      </c>
      <c r="H39" s="18">
        <v>202730</v>
      </c>
      <c r="I39" s="18">
        <v>984846.4</v>
      </c>
      <c r="J39" s="18">
        <v>207849</v>
      </c>
      <c r="K39" s="18">
        <v>960590.4</v>
      </c>
      <c r="L39" s="18">
        <v>984846.4</v>
      </c>
      <c r="M39" s="18">
        <v>984846.4</v>
      </c>
      <c r="N39" s="18">
        <v>984846.4</v>
      </c>
      <c r="O39" s="18">
        <v>984846.4</v>
      </c>
      <c r="P39" s="18">
        <v>202730</v>
      </c>
      <c r="Q39" s="18">
        <v>207849</v>
      </c>
      <c r="R39" s="18">
        <v>207849</v>
      </c>
      <c r="S39" s="18">
        <v>207849</v>
      </c>
      <c r="T39" s="18">
        <v>207849</v>
      </c>
      <c r="U39" s="74">
        <v>0</v>
      </c>
      <c r="V39" s="74">
        <v>0</v>
      </c>
      <c r="W39" s="74">
        <v>0</v>
      </c>
      <c r="X39" s="74">
        <v>0</v>
      </c>
      <c r="Y39" s="74">
        <v>1</v>
      </c>
    </row>
    <row r="40" spans="2:25" s="92" customFormat="1" x14ac:dyDescent="0.3">
      <c r="B40" s="87" t="s">
        <v>14</v>
      </c>
      <c r="C40" s="88" t="s">
        <v>102</v>
      </c>
      <c r="D40" s="88" t="s">
        <v>128</v>
      </c>
      <c r="E40" s="88" t="s">
        <v>129</v>
      </c>
      <c r="F40" s="88" t="s">
        <v>11</v>
      </c>
      <c r="G40" s="88">
        <v>320</v>
      </c>
      <c r="H40" s="88">
        <v>340</v>
      </c>
      <c r="I40" s="88">
        <v>320</v>
      </c>
      <c r="J40" s="88">
        <v>340</v>
      </c>
      <c r="K40" s="88">
        <v>320</v>
      </c>
      <c r="L40" s="88">
        <v>320</v>
      </c>
      <c r="M40" s="88">
        <v>320</v>
      </c>
      <c r="N40" s="88">
        <v>320</v>
      </c>
      <c r="O40" s="88">
        <v>320</v>
      </c>
      <c r="P40" s="88">
        <v>340</v>
      </c>
      <c r="Q40" s="88">
        <v>340</v>
      </c>
      <c r="R40" s="88">
        <v>340</v>
      </c>
      <c r="S40" s="88">
        <v>340</v>
      </c>
      <c r="T40" s="88">
        <v>340</v>
      </c>
      <c r="U40" s="91" t="s">
        <v>166</v>
      </c>
      <c r="V40" s="91" t="s">
        <v>166</v>
      </c>
      <c r="W40" s="91" t="s">
        <v>166</v>
      </c>
      <c r="X40" s="91" t="s">
        <v>166</v>
      </c>
      <c r="Y40" s="91" t="s">
        <v>166</v>
      </c>
    </row>
    <row r="41" spans="2:25" x14ac:dyDescent="0.3">
      <c r="B41" s="3" t="s">
        <v>18</v>
      </c>
      <c r="C41" s="3" t="s">
        <v>104</v>
      </c>
      <c r="D41" s="3" t="s">
        <v>125</v>
      </c>
      <c r="E41" s="3" t="s">
        <v>126</v>
      </c>
      <c r="F41" s="7" t="s">
        <v>23</v>
      </c>
      <c r="G41" s="88">
        <v>350</v>
      </c>
      <c r="H41" s="88">
        <v>740</v>
      </c>
      <c r="I41" s="88">
        <v>350</v>
      </c>
      <c r="J41" s="88">
        <v>740</v>
      </c>
      <c r="K41" s="88">
        <v>350</v>
      </c>
      <c r="L41" s="88">
        <v>350</v>
      </c>
      <c r="M41" s="88">
        <v>350</v>
      </c>
      <c r="N41" s="88">
        <v>350</v>
      </c>
      <c r="O41" s="88">
        <v>350</v>
      </c>
      <c r="P41" s="88">
        <v>740</v>
      </c>
      <c r="Q41" s="88">
        <v>740</v>
      </c>
      <c r="R41" s="88">
        <v>740</v>
      </c>
      <c r="S41" s="88">
        <v>740</v>
      </c>
      <c r="T41" s="88">
        <v>740</v>
      </c>
      <c r="U41" s="91" t="s">
        <v>166</v>
      </c>
      <c r="V41" s="91" t="s">
        <v>166</v>
      </c>
      <c r="W41" s="91" t="s">
        <v>166</v>
      </c>
      <c r="X41" s="91" t="s">
        <v>166</v>
      </c>
      <c r="Y41" s="91" t="s">
        <v>166</v>
      </c>
    </row>
    <row r="42" spans="2:25" x14ac:dyDescent="0.3">
      <c r="G42" s="2"/>
      <c r="H42" s="2"/>
      <c r="I42" s="2"/>
      <c r="J42" s="2"/>
      <c r="K42" s="2"/>
      <c r="L42" s="2"/>
      <c r="M42" s="2"/>
      <c r="N42" s="2"/>
      <c r="O42" s="2"/>
      <c r="P42" s="2"/>
      <c r="Q42" s="2"/>
      <c r="R42" s="2"/>
      <c r="S42" s="2"/>
      <c r="T42" s="2"/>
      <c r="U42" s="2"/>
      <c r="V42" s="2"/>
      <c r="W42" s="2"/>
      <c r="X42" s="2"/>
      <c r="Y42" s="2"/>
    </row>
    <row r="43" spans="2:25" x14ac:dyDescent="0.3">
      <c r="G43" s="75"/>
      <c r="H43" s="75"/>
      <c r="I43" s="75"/>
      <c r="J43" s="75"/>
      <c r="K43" s="2"/>
      <c r="L43" s="2"/>
      <c r="M43" s="2"/>
      <c r="N43" s="2"/>
      <c r="O43" s="2"/>
      <c r="P43" s="2"/>
      <c r="Q43" s="2"/>
      <c r="R43" s="2"/>
      <c r="S43" s="2"/>
      <c r="T43" s="2"/>
      <c r="U43" s="2"/>
      <c r="V43" s="2"/>
      <c r="W43" s="2"/>
      <c r="X43" s="2"/>
      <c r="Y43" s="2"/>
    </row>
    <row r="44" spans="2:25" x14ac:dyDescent="0.3">
      <c r="G44" s="76"/>
      <c r="H44" s="76"/>
      <c r="I44" s="76"/>
      <c r="J44" s="76"/>
      <c r="K44" s="2"/>
      <c r="L44" s="2"/>
      <c r="M44" s="2"/>
      <c r="N44" s="2"/>
      <c r="O44" s="2"/>
      <c r="P44" s="2"/>
      <c r="Q44" s="2"/>
      <c r="R44" s="2"/>
      <c r="S44" s="2"/>
      <c r="T44" s="2"/>
      <c r="U44" s="2"/>
      <c r="V44" s="2"/>
      <c r="W44" s="2"/>
      <c r="X44" s="2"/>
      <c r="Y44" s="2"/>
    </row>
    <row r="45" spans="2:25" x14ac:dyDescent="0.3">
      <c r="G45" s="77"/>
      <c r="H45" s="77"/>
      <c r="I45" s="77"/>
      <c r="J45" s="77"/>
      <c r="K45" s="2"/>
      <c r="L45" s="2"/>
      <c r="M45" s="2"/>
      <c r="N45" s="2"/>
      <c r="O45" s="2"/>
      <c r="P45" s="2"/>
      <c r="Q45" s="2"/>
      <c r="R45" s="2"/>
      <c r="S45" s="2"/>
      <c r="T45" s="2"/>
      <c r="U45" s="2"/>
      <c r="V45" s="2"/>
      <c r="W45" s="2"/>
      <c r="X45" s="2"/>
      <c r="Y45" s="2"/>
    </row>
    <row r="46" spans="2:25" x14ac:dyDescent="0.3">
      <c r="G46" s="2"/>
      <c r="H46" s="2"/>
      <c r="I46" s="2"/>
      <c r="J46" s="2"/>
      <c r="K46" s="2"/>
      <c r="L46" s="2"/>
      <c r="M46" s="2"/>
      <c r="N46" s="2"/>
      <c r="O46" s="2"/>
      <c r="P46" s="2"/>
      <c r="Q46" s="2"/>
      <c r="R46" s="2"/>
      <c r="S46" s="2"/>
      <c r="T46" s="2"/>
      <c r="U46" s="2"/>
      <c r="V46" s="2"/>
      <c r="W46" s="2"/>
      <c r="X46" s="2"/>
      <c r="Y46" s="2"/>
    </row>
    <row r="47" spans="2:25" x14ac:dyDescent="0.3">
      <c r="G47" s="2"/>
      <c r="H47" s="2"/>
      <c r="I47" s="2"/>
      <c r="J47" s="2"/>
      <c r="K47" s="2"/>
      <c r="L47" s="2"/>
      <c r="M47" s="2"/>
      <c r="N47" s="2"/>
      <c r="O47" s="2"/>
      <c r="P47" s="2"/>
      <c r="Q47" s="2"/>
      <c r="R47" s="2"/>
      <c r="S47" s="2"/>
      <c r="T47" s="2"/>
      <c r="U47" s="2"/>
      <c r="V47" s="2"/>
      <c r="W47" s="2"/>
      <c r="X47" s="2"/>
      <c r="Y47" s="2"/>
    </row>
    <row r="48" spans="2:25" x14ac:dyDescent="0.3">
      <c r="G48" s="2"/>
      <c r="H48" s="2"/>
      <c r="I48" s="2"/>
      <c r="J48" s="2"/>
      <c r="K48" s="2"/>
      <c r="L48" s="2"/>
      <c r="M48" s="2"/>
      <c r="N48" s="2"/>
      <c r="O48" s="2"/>
      <c r="P48" s="2"/>
      <c r="Q48" s="2"/>
      <c r="R48" s="2"/>
      <c r="S48" s="2"/>
      <c r="T48" s="2"/>
      <c r="U48" s="2"/>
      <c r="V48" s="2"/>
      <c r="W48" s="2"/>
      <c r="X48" s="2"/>
      <c r="Y48" s="2"/>
    </row>
    <row r="49" spans="7:25" x14ac:dyDescent="0.3">
      <c r="G49" s="2"/>
      <c r="H49" s="2"/>
      <c r="I49" s="2"/>
      <c r="J49" s="2"/>
      <c r="K49" s="2"/>
      <c r="L49" s="2"/>
      <c r="M49" s="2"/>
      <c r="N49" s="2"/>
      <c r="O49" s="2"/>
      <c r="P49" s="2"/>
      <c r="Q49" s="2"/>
      <c r="R49" s="2"/>
      <c r="S49" s="2"/>
      <c r="T49" s="2"/>
      <c r="U49" s="2"/>
      <c r="V49" s="2"/>
      <c r="W49" s="2"/>
      <c r="X49" s="2"/>
      <c r="Y49" s="2"/>
    </row>
    <row r="50" spans="7:25" x14ac:dyDescent="0.3">
      <c r="G50" s="2"/>
      <c r="H50" s="2"/>
      <c r="I50" s="2"/>
      <c r="J50" s="2"/>
      <c r="K50" s="2"/>
      <c r="L50" s="2"/>
      <c r="M50" s="2"/>
      <c r="N50" s="2"/>
      <c r="O50" s="2"/>
      <c r="P50" s="2"/>
      <c r="Q50" s="2"/>
      <c r="R50" s="2"/>
      <c r="S50" s="2"/>
      <c r="T50" s="2"/>
      <c r="U50" s="2"/>
      <c r="V50" s="2"/>
      <c r="W50" s="2"/>
      <c r="X50" s="2"/>
      <c r="Y50" s="2"/>
    </row>
    <row r="51" spans="7:25" x14ac:dyDescent="0.3">
      <c r="G51" s="2"/>
      <c r="H51" s="2"/>
      <c r="I51" s="2"/>
      <c r="J51" s="2"/>
      <c r="K51" s="2"/>
      <c r="L51" s="2"/>
      <c r="M51" s="2"/>
      <c r="N51" s="2"/>
      <c r="O51" s="2"/>
      <c r="P51" s="2"/>
      <c r="Q51" s="2"/>
      <c r="R51" s="2"/>
      <c r="S51" s="2"/>
      <c r="T51" s="2"/>
      <c r="U51" s="2"/>
      <c r="V51" s="2"/>
      <c r="W51" s="2"/>
      <c r="X51" s="2"/>
      <c r="Y51" s="2"/>
    </row>
    <row r="52" spans="7:25" x14ac:dyDescent="0.3">
      <c r="G52" s="2"/>
      <c r="H52" s="2"/>
      <c r="I52" s="2"/>
      <c r="J52" s="2"/>
      <c r="K52" s="2"/>
      <c r="L52" s="2"/>
      <c r="M52" s="2"/>
      <c r="N52" s="2"/>
      <c r="O52" s="2"/>
      <c r="P52" s="2"/>
      <c r="Q52" s="2"/>
      <c r="R52" s="2"/>
      <c r="S52" s="2"/>
      <c r="T52" s="2"/>
      <c r="U52" s="2"/>
      <c r="V52" s="2"/>
      <c r="W52" s="2"/>
      <c r="X52" s="2"/>
      <c r="Y52" s="2"/>
    </row>
    <row r="53" spans="7:25" x14ac:dyDescent="0.3">
      <c r="G53" s="2"/>
      <c r="H53" s="2"/>
      <c r="I53" s="2"/>
      <c r="J53" s="2"/>
      <c r="K53" s="2"/>
      <c r="L53" s="2"/>
      <c r="M53" s="2"/>
      <c r="N53" s="2"/>
      <c r="O53" s="2"/>
      <c r="P53" s="2"/>
      <c r="Q53" s="2"/>
      <c r="R53" s="2"/>
      <c r="S53" s="2"/>
      <c r="T53" s="2"/>
      <c r="U53" s="2"/>
      <c r="V53" s="2"/>
      <c r="W53" s="2"/>
      <c r="X53" s="2"/>
      <c r="Y53" s="2"/>
    </row>
    <row r="54" spans="7:25" x14ac:dyDescent="0.3">
      <c r="G54" s="2"/>
      <c r="H54" s="2"/>
      <c r="I54" s="2"/>
      <c r="J54" s="2"/>
      <c r="K54" s="2"/>
      <c r="L54" s="2"/>
      <c r="M54" s="2"/>
      <c r="N54" s="2"/>
      <c r="O54" s="2"/>
      <c r="P54" s="2"/>
      <c r="Q54" s="2"/>
      <c r="R54" s="2"/>
      <c r="S54" s="2"/>
      <c r="T54" s="2"/>
      <c r="U54" s="2"/>
      <c r="V54" s="2"/>
      <c r="W54" s="2"/>
      <c r="X54" s="2"/>
      <c r="Y54" s="2"/>
    </row>
    <row r="55" spans="7:25" x14ac:dyDescent="0.3">
      <c r="G55" s="2"/>
      <c r="H55" s="2"/>
      <c r="I55" s="2"/>
      <c r="J55" s="2"/>
      <c r="K55" s="2"/>
      <c r="L55" s="2"/>
      <c r="M55" s="2"/>
      <c r="N55" s="2"/>
      <c r="O55" s="2"/>
      <c r="P55" s="2"/>
      <c r="Q55" s="2"/>
      <c r="R55" s="2"/>
      <c r="S55" s="2"/>
      <c r="T55" s="2"/>
      <c r="U55" s="2"/>
      <c r="V55" s="2"/>
      <c r="W55" s="2"/>
      <c r="X55" s="2"/>
      <c r="Y55" s="2"/>
    </row>
    <row r="56" spans="7:25" x14ac:dyDescent="0.3">
      <c r="G56" s="2"/>
      <c r="H56" s="2"/>
      <c r="I56" s="2"/>
      <c r="J56" s="2"/>
      <c r="K56" s="2"/>
      <c r="L56" s="2"/>
      <c r="M56" s="2"/>
      <c r="N56" s="2"/>
      <c r="O56" s="2"/>
      <c r="P56" s="2"/>
      <c r="Q56" s="2"/>
      <c r="R56" s="2"/>
      <c r="S56" s="2"/>
      <c r="T56" s="2"/>
      <c r="U56" s="2"/>
      <c r="V56" s="2"/>
      <c r="W56" s="2"/>
      <c r="X56" s="2"/>
      <c r="Y56" s="2"/>
    </row>
  </sheetData>
  <autoFilter ref="A6:Y41"/>
  <mergeCells count="11">
    <mergeCell ref="B4:B6"/>
    <mergeCell ref="C4:C6"/>
    <mergeCell ref="D4:E4"/>
    <mergeCell ref="F4:F6"/>
    <mergeCell ref="G3:Y3"/>
    <mergeCell ref="U4:Y5"/>
    <mergeCell ref="K5:O5"/>
    <mergeCell ref="P5:T5"/>
    <mergeCell ref="G4:H5"/>
    <mergeCell ref="I4:J5"/>
    <mergeCell ref="K4:T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J11"/>
  <sheetViews>
    <sheetView workbookViewId="0">
      <selection activeCell="G8" sqref="G8"/>
    </sheetView>
  </sheetViews>
  <sheetFormatPr baseColWidth="10" defaultRowHeight="13.2" x14ac:dyDescent="0.3"/>
  <cols>
    <col min="1" max="1" width="6.44140625" style="36" customWidth="1"/>
    <col min="2" max="2" width="11.44140625" style="36"/>
    <col min="3" max="3" width="17.88671875" style="36" customWidth="1"/>
    <col min="4" max="4" width="17.109375" style="36" customWidth="1"/>
    <col min="5" max="5" width="32.33203125" style="36" customWidth="1"/>
    <col min="6" max="6" width="22.44140625" style="36" customWidth="1"/>
    <col min="7" max="7" width="27.88671875" style="36" customWidth="1"/>
    <col min="8" max="256" width="11.44140625" style="36"/>
    <col min="257" max="257" width="6.44140625" style="36" customWidth="1"/>
    <col min="258" max="258" width="11.44140625" style="36"/>
    <col min="259" max="259" width="17.88671875" style="36" customWidth="1"/>
    <col min="260" max="260" width="17.109375" style="36" customWidth="1"/>
    <col min="261" max="261" width="32.33203125" style="36" customWidth="1"/>
    <col min="262" max="262" width="22.44140625" style="36" customWidth="1"/>
    <col min="263" max="263" width="27.88671875" style="36" customWidth="1"/>
    <col min="264" max="512" width="11.44140625" style="36"/>
    <col min="513" max="513" width="6.44140625" style="36" customWidth="1"/>
    <col min="514" max="514" width="11.44140625" style="36"/>
    <col min="515" max="515" width="17.88671875" style="36" customWidth="1"/>
    <col min="516" max="516" width="17.109375" style="36" customWidth="1"/>
    <col min="517" max="517" width="32.33203125" style="36" customWidth="1"/>
    <col min="518" max="518" width="22.44140625" style="36" customWidth="1"/>
    <col min="519" max="519" width="27.88671875" style="36" customWidth="1"/>
    <col min="520" max="768" width="11.44140625" style="36"/>
    <col min="769" max="769" width="6.44140625" style="36" customWidth="1"/>
    <col min="770" max="770" width="11.44140625" style="36"/>
    <col min="771" max="771" width="17.88671875" style="36" customWidth="1"/>
    <col min="772" max="772" width="17.109375" style="36" customWidth="1"/>
    <col min="773" max="773" width="32.33203125" style="36" customWidth="1"/>
    <col min="774" max="774" width="22.44140625" style="36" customWidth="1"/>
    <col min="775" max="775" width="27.88671875" style="36" customWidth="1"/>
    <col min="776" max="1024" width="11.44140625" style="36"/>
    <col min="1025" max="1025" width="6.44140625" style="36" customWidth="1"/>
    <col min="1026" max="1026" width="11.44140625" style="36"/>
    <col min="1027" max="1027" width="17.88671875" style="36" customWidth="1"/>
    <col min="1028" max="1028" width="17.109375" style="36" customWidth="1"/>
    <col min="1029" max="1029" width="32.33203125" style="36" customWidth="1"/>
    <col min="1030" max="1030" width="22.44140625" style="36" customWidth="1"/>
    <col min="1031" max="1031" width="27.88671875" style="36" customWidth="1"/>
    <col min="1032" max="1280" width="11.44140625" style="36"/>
    <col min="1281" max="1281" width="6.44140625" style="36" customWidth="1"/>
    <col min="1282" max="1282" width="11.44140625" style="36"/>
    <col min="1283" max="1283" width="17.88671875" style="36" customWidth="1"/>
    <col min="1284" max="1284" width="17.109375" style="36" customWidth="1"/>
    <col min="1285" max="1285" width="32.33203125" style="36" customWidth="1"/>
    <col min="1286" max="1286" width="22.44140625" style="36" customWidth="1"/>
    <col min="1287" max="1287" width="27.88671875" style="36" customWidth="1"/>
    <col min="1288" max="1536" width="11.44140625" style="36"/>
    <col min="1537" max="1537" width="6.44140625" style="36" customWidth="1"/>
    <col min="1538" max="1538" width="11.44140625" style="36"/>
    <col min="1539" max="1539" width="17.88671875" style="36" customWidth="1"/>
    <col min="1540" max="1540" width="17.109375" style="36" customWidth="1"/>
    <col min="1541" max="1541" width="32.33203125" style="36" customWidth="1"/>
    <col min="1542" max="1542" width="22.44140625" style="36" customWidth="1"/>
    <col min="1543" max="1543" width="27.88671875" style="36" customWidth="1"/>
    <col min="1544" max="1792" width="11.44140625" style="36"/>
    <col min="1793" max="1793" width="6.44140625" style="36" customWidth="1"/>
    <col min="1794" max="1794" width="11.44140625" style="36"/>
    <col min="1795" max="1795" width="17.88671875" style="36" customWidth="1"/>
    <col min="1796" max="1796" width="17.109375" style="36" customWidth="1"/>
    <col min="1797" max="1797" width="32.33203125" style="36" customWidth="1"/>
    <col min="1798" max="1798" width="22.44140625" style="36" customWidth="1"/>
    <col min="1799" max="1799" width="27.88671875" style="36" customWidth="1"/>
    <col min="1800" max="2048" width="11.44140625" style="36"/>
    <col min="2049" max="2049" width="6.44140625" style="36" customWidth="1"/>
    <col min="2050" max="2050" width="11.44140625" style="36"/>
    <col min="2051" max="2051" width="17.88671875" style="36" customWidth="1"/>
    <col min="2052" max="2052" width="17.109375" style="36" customWidth="1"/>
    <col min="2053" max="2053" width="32.33203125" style="36" customWidth="1"/>
    <col min="2054" max="2054" width="22.44140625" style="36" customWidth="1"/>
    <col min="2055" max="2055" width="27.88671875" style="36" customWidth="1"/>
    <col min="2056" max="2304" width="11.44140625" style="36"/>
    <col min="2305" max="2305" width="6.44140625" style="36" customWidth="1"/>
    <col min="2306" max="2306" width="11.44140625" style="36"/>
    <col min="2307" max="2307" width="17.88671875" style="36" customWidth="1"/>
    <col min="2308" max="2308" width="17.109375" style="36" customWidth="1"/>
    <col min="2309" max="2309" width="32.33203125" style="36" customWidth="1"/>
    <col min="2310" max="2310" width="22.44140625" style="36" customWidth="1"/>
    <col min="2311" max="2311" width="27.88671875" style="36" customWidth="1"/>
    <col min="2312" max="2560" width="11.44140625" style="36"/>
    <col min="2561" max="2561" width="6.44140625" style="36" customWidth="1"/>
    <col min="2562" max="2562" width="11.44140625" style="36"/>
    <col min="2563" max="2563" width="17.88671875" style="36" customWidth="1"/>
    <col min="2564" max="2564" width="17.109375" style="36" customWidth="1"/>
    <col min="2565" max="2565" width="32.33203125" style="36" customWidth="1"/>
    <col min="2566" max="2566" width="22.44140625" style="36" customWidth="1"/>
    <col min="2567" max="2567" width="27.88671875" style="36" customWidth="1"/>
    <col min="2568" max="2816" width="11.44140625" style="36"/>
    <col min="2817" max="2817" width="6.44140625" style="36" customWidth="1"/>
    <col min="2818" max="2818" width="11.44140625" style="36"/>
    <col min="2819" max="2819" width="17.88671875" style="36" customWidth="1"/>
    <col min="2820" max="2820" width="17.109375" style="36" customWidth="1"/>
    <col min="2821" max="2821" width="32.33203125" style="36" customWidth="1"/>
    <col min="2822" max="2822" width="22.44140625" style="36" customWidth="1"/>
    <col min="2823" max="2823" width="27.88671875" style="36" customWidth="1"/>
    <col min="2824" max="3072" width="11.44140625" style="36"/>
    <col min="3073" max="3073" width="6.44140625" style="36" customWidth="1"/>
    <col min="3074" max="3074" width="11.44140625" style="36"/>
    <col min="3075" max="3075" width="17.88671875" style="36" customWidth="1"/>
    <col min="3076" max="3076" width="17.109375" style="36" customWidth="1"/>
    <col min="3077" max="3077" width="32.33203125" style="36" customWidth="1"/>
    <col min="3078" max="3078" width="22.44140625" style="36" customWidth="1"/>
    <col min="3079" max="3079" width="27.88671875" style="36" customWidth="1"/>
    <col min="3080" max="3328" width="11.44140625" style="36"/>
    <col min="3329" max="3329" width="6.44140625" style="36" customWidth="1"/>
    <col min="3330" max="3330" width="11.44140625" style="36"/>
    <col min="3331" max="3331" width="17.88671875" style="36" customWidth="1"/>
    <col min="3332" max="3332" width="17.109375" style="36" customWidth="1"/>
    <col min="3333" max="3333" width="32.33203125" style="36" customWidth="1"/>
    <col min="3334" max="3334" width="22.44140625" style="36" customWidth="1"/>
    <col min="3335" max="3335" width="27.88671875" style="36" customWidth="1"/>
    <col min="3336" max="3584" width="11.44140625" style="36"/>
    <col min="3585" max="3585" width="6.44140625" style="36" customWidth="1"/>
    <col min="3586" max="3586" width="11.44140625" style="36"/>
    <col min="3587" max="3587" width="17.88671875" style="36" customWidth="1"/>
    <col min="3588" max="3588" width="17.109375" style="36" customWidth="1"/>
    <col min="3589" max="3589" width="32.33203125" style="36" customWidth="1"/>
    <col min="3590" max="3590" width="22.44140625" style="36" customWidth="1"/>
    <col min="3591" max="3591" width="27.88671875" style="36" customWidth="1"/>
    <col min="3592" max="3840" width="11.44140625" style="36"/>
    <col min="3841" max="3841" width="6.44140625" style="36" customWidth="1"/>
    <col min="3842" max="3842" width="11.44140625" style="36"/>
    <col min="3843" max="3843" width="17.88671875" style="36" customWidth="1"/>
    <col min="3844" max="3844" width="17.109375" style="36" customWidth="1"/>
    <col min="3845" max="3845" width="32.33203125" style="36" customWidth="1"/>
    <col min="3846" max="3846" width="22.44140625" style="36" customWidth="1"/>
    <col min="3847" max="3847" width="27.88671875" style="36" customWidth="1"/>
    <col min="3848" max="4096" width="11.44140625" style="36"/>
    <col min="4097" max="4097" width="6.44140625" style="36" customWidth="1"/>
    <col min="4098" max="4098" width="11.44140625" style="36"/>
    <col min="4099" max="4099" width="17.88671875" style="36" customWidth="1"/>
    <col min="4100" max="4100" width="17.109375" style="36" customWidth="1"/>
    <col min="4101" max="4101" width="32.33203125" style="36" customWidth="1"/>
    <col min="4102" max="4102" width="22.44140625" style="36" customWidth="1"/>
    <col min="4103" max="4103" width="27.88671875" style="36" customWidth="1"/>
    <col min="4104" max="4352" width="11.44140625" style="36"/>
    <col min="4353" max="4353" width="6.44140625" style="36" customWidth="1"/>
    <col min="4354" max="4354" width="11.44140625" style="36"/>
    <col min="4355" max="4355" width="17.88671875" style="36" customWidth="1"/>
    <col min="4356" max="4356" width="17.109375" style="36" customWidth="1"/>
    <col min="4357" max="4357" width="32.33203125" style="36" customWidth="1"/>
    <col min="4358" max="4358" width="22.44140625" style="36" customWidth="1"/>
    <col min="4359" max="4359" width="27.88671875" style="36" customWidth="1"/>
    <col min="4360" max="4608" width="11.44140625" style="36"/>
    <col min="4609" max="4609" width="6.44140625" style="36" customWidth="1"/>
    <col min="4610" max="4610" width="11.44140625" style="36"/>
    <col min="4611" max="4611" width="17.88671875" style="36" customWidth="1"/>
    <col min="4612" max="4612" width="17.109375" style="36" customWidth="1"/>
    <col min="4613" max="4613" width="32.33203125" style="36" customWidth="1"/>
    <col min="4614" max="4614" width="22.44140625" style="36" customWidth="1"/>
    <col min="4615" max="4615" width="27.88671875" style="36" customWidth="1"/>
    <col min="4616" max="4864" width="11.44140625" style="36"/>
    <col min="4865" max="4865" width="6.44140625" style="36" customWidth="1"/>
    <col min="4866" max="4866" width="11.44140625" style="36"/>
    <col min="4867" max="4867" width="17.88671875" style="36" customWidth="1"/>
    <col min="4868" max="4868" width="17.109375" style="36" customWidth="1"/>
    <col min="4869" max="4869" width="32.33203125" style="36" customWidth="1"/>
    <col min="4870" max="4870" width="22.44140625" style="36" customWidth="1"/>
    <col min="4871" max="4871" width="27.88671875" style="36" customWidth="1"/>
    <col min="4872" max="5120" width="11.44140625" style="36"/>
    <col min="5121" max="5121" width="6.44140625" style="36" customWidth="1"/>
    <col min="5122" max="5122" width="11.44140625" style="36"/>
    <col min="5123" max="5123" width="17.88671875" style="36" customWidth="1"/>
    <col min="5124" max="5124" width="17.109375" style="36" customWidth="1"/>
    <col min="5125" max="5125" width="32.33203125" style="36" customWidth="1"/>
    <col min="5126" max="5126" width="22.44140625" style="36" customWidth="1"/>
    <col min="5127" max="5127" width="27.88671875" style="36" customWidth="1"/>
    <col min="5128" max="5376" width="11.44140625" style="36"/>
    <col min="5377" max="5377" width="6.44140625" style="36" customWidth="1"/>
    <col min="5378" max="5378" width="11.44140625" style="36"/>
    <col min="5379" max="5379" width="17.88671875" style="36" customWidth="1"/>
    <col min="5380" max="5380" width="17.109375" style="36" customWidth="1"/>
    <col min="5381" max="5381" width="32.33203125" style="36" customWidth="1"/>
    <col min="5382" max="5382" width="22.44140625" style="36" customWidth="1"/>
    <col min="5383" max="5383" width="27.88671875" style="36" customWidth="1"/>
    <col min="5384" max="5632" width="11.44140625" style="36"/>
    <col min="5633" max="5633" width="6.44140625" style="36" customWidth="1"/>
    <col min="5634" max="5634" width="11.44140625" style="36"/>
    <col min="5635" max="5635" width="17.88671875" style="36" customWidth="1"/>
    <col min="5636" max="5636" width="17.109375" style="36" customWidth="1"/>
    <col min="5637" max="5637" width="32.33203125" style="36" customWidth="1"/>
    <col min="5638" max="5638" width="22.44140625" style="36" customWidth="1"/>
    <col min="5639" max="5639" width="27.88671875" style="36" customWidth="1"/>
    <col min="5640" max="5888" width="11.44140625" style="36"/>
    <col min="5889" max="5889" width="6.44140625" style="36" customWidth="1"/>
    <col min="5890" max="5890" width="11.44140625" style="36"/>
    <col min="5891" max="5891" width="17.88671875" style="36" customWidth="1"/>
    <col min="5892" max="5892" width="17.109375" style="36" customWidth="1"/>
    <col min="5893" max="5893" width="32.33203125" style="36" customWidth="1"/>
    <col min="5894" max="5894" width="22.44140625" style="36" customWidth="1"/>
    <col min="5895" max="5895" width="27.88671875" style="36" customWidth="1"/>
    <col min="5896" max="6144" width="11.44140625" style="36"/>
    <col min="6145" max="6145" width="6.44140625" style="36" customWidth="1"/>
    <col min="6146" max="6146" width="11.44140625" style="36"/>
    <col min="6147" max="6147" width="17.88671875" style="36" customWidth="1"/>
    <col min="6148" max="6148" width="17.109375" style="36" customWidth="1"/>
    <col min="6149" max="6149" width="32.33203125" style="36" customWidth="1"/>
    <col min="6150" max="6150" width="22.44140625" style="36" customWidth="1"/>
    <col min="6151" max="6151" width="27.88671875" style="36" customWidth="1"/>
    <col min="6152" max="6400" width="11.44140625" style="36"/>
    <col min="6401" max="6401" width="6.44140625" style="36" customWidth="1"/>
    <col min="6402" max="6402" width="11.44140625" style="36"/>
    <col min="6403" max="6403" width="17.88671875" style="36" customWidth="1"/>
    <col min="6404" max="6404" width="17.109375" style="36" customWidth="1"/>
    <col min="6405" max="6405" width="32.33203125" style="36" customWidth="1"/>
    <col min="6406" max="6406" width="22.44140625" style="36" customWidth="1"/>
    <col min="6407" max="6407" width="27.88671875" style="36" customWidth="1"/>
    <col min="6408" max="6656" width="11.44140625" style="36"/>
    <col min="6657" max="6657" width="6.44140625" style="36" customWidth="1"/>
    <col min="6658" max="6658" width="11.44140625" style="36"/>
    <col min="6659" max="6659" width="17.88671875" style="36" customWidth="1"/>
    <col min="6660" max="6660" width="17.109375" style="36" customWidth="1"/>
    <col min="6661" max="6661" width="32.33203125" style="36" customWidth="1"/>
    <col min="6662" max="6662" width="22.44140625" style="36" customWidth="1"/>
    <col min="6663" max="6663" width="27.88671875" style="36" customWidth="1"/>
    <col min="6664" max="6912" width="11.44140625" style="36"/>
    <col min="6913" max="6913" width="6.44140625" style="36" customWidth="1"/>
    <col min="6914" max="6914" width="11.44140625" style="36"/>
    <col min="6915" max="6915" width="17.88671875" style="36" customWidth="1"/>
    <col min="6916" max="6916" width="17.109375" style="36" customWidth="1"/>
    <col min="6917" max="6917" width="32.33203125" style="36" customWidth="1"/>
    <col min="6918" max="6918" width="22.44140625" style="36" customWidth="1"/>
    <col min="6919" max="6919" width="27.88671875" style="36" customWidth="1"/>
    <col min="6920" max="7168" width="11.44140625" style="36"/>
    <col min="7169" max="7169" width="6.44140625" style="36" customWidth="1"/>
    <col min="7170" max="7170" width="11.44140625" style="36"/>
    <col min="7171" max="7171" width="17.88671875" style="36" customWidth="1"/>
    <col min="7172" max="7172" width="17.109375" style="36" customWidth="1"/>
    <col min="7173" max="7173" width="32.33203125" style="36" customWidth="1"/>
    <col min="7174" max="7174" width="22.44140625" style="36" customWidth="1"/>
    <col min="7175" max="7175" width="27.88671875" style="36" customWidth="1"/>
    <col min="7176" max="7424" width="11.44140625" style="36"/>
    <col min="7425" max="7425" width="6.44140625" style="36" customWidth="1"/>
    <col min="7426" max="7426" width="11.44140625" style="36"/>
    <col min="7427" max="7427" width="17.88671875" style="36" customWidth="1"/>
    <col min="7428" max="7428" width="17.109375" style="36" customWidth="1"/>
    <col min="7429" max="7429" width="32.33203125" style="36" customWidth="1"/>
    <col min="7430" max="7430" width="22.44140625" style="36" customWidth="1"/>
    <col min="7431" max="7431" width="27.88671875" style="36" customWidth="1"/>
    <col min="7432" max="7680" width="11.44140625" style="36"/>
    <col min="7681" max="7681" width="6.44140625" style="36" customWidth="1"/>
    <col min="7682" max="7682" width="11.44140625" style="36"/>
    <col min="7683" max="7683" width="17.88671875" style="36" customWidth="1"/>
    <col min="7684" max="7684" width="17.109375" style="36" customWidth="1"/>
    <col min="7685" max="7685" width="32.33203125" style="36" customWidth="1"/>
    <col min="7686" max="7686" width="22.44140625" style="36" customWidth="1"/>
    <col min="7687" max="7687" width="27.88671875" style="36" customWidth="1"/>
    <col min="7688" max="7936" width="11.44140625" style="36"/>
    <col min="7937" max="7937" width="6.44140625" style="36" customWidth="1"/>
    <col min="7938" max="7938" width="11.44140625" style="36"/>
    <col min="7939" max="7939" width="17.88671875" style="36" customWidth="1"/>
    <col min="7940" max="7940" width="17.109375" style="36" customWidth="1"/>
    <col min="7941" max="7941" width="32.33203125" style="36" customWidth="1"/>
    <col min="7942" max="7942" width="22.44140625" style="36" customWidth="1"/>
    <col min="7943" max="7943" width="27.88671875" style="36" customWidth="1"/>
    <col min="7944" max="8192" width="11.44140625" style="36"/>
    <col min="8193" max="8193" width="6.44140625" style="36" customWidth="1"/>
    <col min="8194" max="8194" width="11.44140625" style="36"/>
    <col min="8195" max="8195" width="17.88671875" style="36" customWidth="1"/>
    <col min="8196" max="8196" width="17.109375" style="36" customWidth="1"/>
    <col min="8197" max="8197" width="32.33203125" style="36" customWidth="1"/>
    <col min="8198" max="8198" width="22.44140625" style="36" customWidth="1"/>
    <col min="8199" max="8199" width="27.88671875" style="36" customWidth="1"/>
    <col min="8200" max="8448" width="11.44140625" style="36"/>
    <col min="8449" max="8449" width="6.44140625" style="36" customWidth="1"/>
    <col min="8450" max="8450" width="11.44140625" style="36"/>
    <col min="8451" max="8451" width="17.88671875" style="36" customWidth="1"/>
    <col min="8452" max="8452" width="17.109375" style="36" customWidth="1"/>
    <col min="8453" max="8453" width="32.33203125" style="36" customWidth="1"/>
    <col min="8454" max="8454" width="22.44140625" style="36" customWidth="1"/>
    <col min="8455" max="8455" width="27.88671875" style="36" customWidth="1"/>
    <col min="8456" max="8704" width="11.44140625" style="36"/>
    <col min="8705" max="8705" width="6.44140625" style="36" customWidth="1"/>
    <col min="8706" max="8706" width="11.44140625" style="36"/>
    <col min="8707" max="8707" width="17.88671875" style="36" customWidth="1"/>
    <col min="8708" max="8708" width="17.109375" style="36" customWidth="1"/>
    <col min="8709" max="8709" width="32.33203125" style="36" customWidth="1"/>
    <col min="8710" max="8710" width="22.44140625" style="36" customWidth="1"/>
    <col min="8711" max="8711" width="27.88671875" style="36" customWidth="1"/>
    <col min="8712" max="8960" width="11.44140625" style="36"/>
    <col min="8961" max="8961" width="6.44140625" style="36" customWidth="1"/>
    <col min="8962" max="8962" width="11.44140625" style="36"/>
    <col min="8963" max="8963" width="17.88671875" style="36" customWidth="1"/>
    <col min="8964" max="8964" width="17.109375" style="36" customWidth="1"/>
    <col min="8965" max="8965" width="32.33203125" style="36" customWidth="1"/>
    <col min="8966" max="8966" width="22.44140625" style="36" customWidth="1"/>
    <col min="8967" max="8967" width="27.88671875" style="36" customWidth="1"/>
    <col min="8968" max="9216" width="11.44140625" style="36"/>
    <col min="9217" max="9217" width="6.44140625" style="36" customWidth="1"/>
    <col min="9218" max="9218" width="11.44140625" style="36"/>
    <col min="9219" max="9219" width="17.88671875" style="36" customWidth="1"/>
    <col min="9220" max="9220" width="17.109375" style="36" customWidth="1"/>
    <col min="9221" max="9221" width="32.33203125" style="36" customWidth="1"/>
    <col min="9222" max="9222" width="22.44140625" style="36" customWidth="1"/>
    <col min="9223" max="9223" width="27.88671875" style="36" customWidth="1"/>
    <col min="9224" max="9472" width="11.44140625" style="36"/>
    <col min="9473" max="9473" width="6.44140625" style="36" customWidth="1"/>
    <col min="9474" max="9474" width="11.44140625" style="36"/>
    <col min="9475" max="9475" width="17.88671875" style="36" customWidth="1"/>
    <col min="9476" max="9476" width="17.109375" style="36" customWidth="1"/>
    <col min="9477" max="9477" width="32.33203125" style="36" customWidth="1"/>
    <col min="9478" max="9478" width="22.44140625" style="36" customWidth="1"/>
    <col min="9479" max="9479" width="27.88671875" style="36" customWidth="1"/>
    <col min="9480" max="9728" width="11.44140625" style="36"/>
    <col min="9729" max="9729" width="6.44140625" style="36" customWidth="1"/>
    <col min="9730" max="9730" width="11.44140625" style="36"/>
    <col min="9731" max="9731" width="17.88671875" style="36" customWidth="1"/>
    <col min="9732" max="9732" width="17.109375" style="36" customWidth="1"/>
    <col min="9733" max="9733" width="32.33203125" style="36" customWidth="1"/>
    <col min="9734" max="9734" width="22.44140625" style="36" customWidth="1"/>
    <col min="9735" max="9735" width="27.88671875" style="36" customWidth="1"/>
    <col min="9736" max="9984" width="11.44140625" style="36"/>
    <col min="9985" max="9985" width="6.44140625" style="36" customWidth="1"/>
    <col min="9986" max="9986" width="11.44140625" style="36"/>
    <col min="9987" max="9987" width="17.88671875" style="36" customWidth="1"/>
    <col min="9988" max="9988" width="17.109375" style="36" customWidth="1"/>
    <col min="9989" max="9989" width="32.33203125" style="36" customWidth="1"/>
    <col min="9990" max="9990" width="22.44140625" style="36" customWidth="1"/>
    <col min="9991" max="9991" width="27.88671875" style="36" customWidth="1"/>
    <col min="9992" max="10240" width="11.44140625" style="36"/>
    <col min="10241" max="10241" width="6.44140625" style="36" customWidth="1"/>
    <col min="10242" max="10242" width="11.44140625" style="36"/>
    <col min="10243" max="10243" width="17.88671875" style="36" customWidth="1"/>
    <col min="10244" max="10244" width="17.109375" style="36" customWidth="1"/>
    <col min="10245" max="10245" width="32.33203125" style="36" customWidth="1"/>
    <col min="10246" max="10246" width="22.44140625" style="36" customWidth="1"/>
    <col min="10247" max="10247" width="27.88671875" style="36" customWidth="1"/>
    <col min="10248" max="10496" width="11.44140625" style="36"/>
    <col min="10497" max="10497" width="6.44140625" style="36" customWidth="1"/>
    <col min="10498" max="10498" width="11.44140625" style="36"/>
    <col min="10499" max="10499" width="17.88671875" style="36" customWidth="1"/>
    <col min="10500" max="10500" width="17.109375" style="36" customWidth="1"/>
    <col min="10501" max="10501" width="32.33203125" style="36" customWidth="1"/>
    <col min="10502" max="10502" width="22.44140625" style="36" customWidth="1"/>
    <col min="10503" max="10503" width="27.88671875" style="36" customWidth="1"/>
    <col min="10504" max="10752" width="11.44140625" style="36"/>
    <col min="10753" max="10753" width="6.44140625" style="36" customWidth="1"/>
    <col min="10754" max="10754" width="11.44140625" style="36"/>
    <col min="10755" max="10755" width="17.88671875" style="36" customWidth="1"/>
    <col min="10756" max="10756" width="17.109375" style="36" customWidth="1"/>
    <col min="10757" max="10757" width="32.33203125" style="36" customWidth="1"/>
    <col min="10758" max="10758" width="22.44140625" style="36" customWidth="1"/>
    <col min="10759" max="10759" width="27.88671875" style="36" customWidth="1"/>
    <col min="10760" max="11008" width="11.44140625" style="36"/>
    <col min="11009" max="11009" width="6.44140625" style="36" customWidth="1"/>
    <col min="11010" max="11010" width="11.44140625" style="36"/>
    <col min="11011" max="11011" width="17.88671875" style="36" customWidth="1"/>
    <col min="11012" max="11012" width="17.109375" style="36" customWidth="1"/>
    <col min="11013" max="11013" width="32.33203125" style="36" customWidth="1"/>
    <col min="11014" max="11014" width="22.44140625" style="36" customWidth="1"/>
    <col min="11015" max="11015" width="27.88671875" style="36" customWidth="1"/>
    <col min="11016" max="11264" width="11.44140625" style="36"/>
    <col min="11265" max="11265" width="6.44140625" style="36" customWidth="1"/>
    <col min="11266" max="11266" width="11.44140625" style="36"/>
    <col min="11267" max="11267" width="17.88671875" style="36" customWidth="1"/>
    <col min="11268" max="11268" width="17.109375" style="36" customWidth="1"/>
    <col min="11269" max="11269" width="32.33203125" style="36" customWidth="1"/>
    <col min="11270" max="11270" width="22.44140625" style="36" customWidth="1"/>
    <col min="11271" max="11271" width="27.88671875" style="36" customWidth="1"/>
    <col min="11272" max="11520" width="11.44140625" style="36"/>
    <col min="11521" max="11521" width="6.44140625" style="36" customWidth="1"/>
    <col min="11522" max="11522" width="11.44140625" style="36"/>
    <col min="11523" max="11523" width="17.88671875" style="36" customWidth="1"/>
    <col min="11524" max="11524" width="17.109375" style="36" customWidth="1"/>
    <col min="11525" max="11525" width="32.33203125" style="36" customWidth="1"/>
    <col min="11526" max="11526" width="22.44140625" style="36" customWidth="1"/>
    <col min="11527" max="11527" width="27.88671875" style="36" customWidth="1"/>
    <col min="11528" max="11776" width="11.44140625" style="36"/>
    <col min="11777" max="11777" width="6.44140625" style="36" customWidth="1"/>
    <col min="11778" max="11778" width="11.44140625" style="36"/>
    <col min="11779" max="11779" width="17.88671875" style="36" customWidth="1"/>
    <col min="11780" max="11780" width="17.109375" style="36" customWidth="1"/>
    <col min="11781" max="11781" width="32.33203125" style="36" customWidth="1"/>
    <col min="11782" max="11782" width="22.44140625" style="36" customWidth="1"/>
    <col min="11783" max="11783" width="27.88671875" style="36" customWidth="1"/>
    <col min="11784" max="12032" width="11.44140625" style="36"/>
    <col min="12033" max="12033" width="6.44140625" style="36" customWidth="1"/>
    <col min="12034" max="12034" width="11.44140625" style="36"/>
    <col min="12035" max="12035" width="17.88671875" style="36" customWidth="1"/>
    <col min="12036" max="12036" width="17.109375" style="36" customWidth="1"/>
    <col min="12037" max="12037" width="32.33203125" style="36" customWidth="1"/>
    <col min="12038" max="12038" width="22.44140625" style="36" customWidth="1"/>
    <col min="12039" max="12039" width="27.88671875" style="36" customWidth="1"/>
    <col min="12040" max="12288" width="11.44140625" style="36"/>
    <col min="12289" max="12289" width="6.44140625" style="36" customWidth="1"/>
    <col min="12290" max="12290" width="11.44140625" style="36"/>
    <col min="12291" max="12291" width="17.88671875" style="36" customWidth="1"/>
    <col min="12292" max="12292" width="17.109375" style="36" customWidth="1"/>
    <col min="12293" max="12293" width="32.33203125" style="36" customWidth="1"/>
    <col min="12294" max="12294" width="22.44140625" style="36" customWidth="1"/>
    <col min="12295" max="12295" width="27.88671875" style="36" customWidth="1"/>
    <col min="12296" max="12544" width="11.44140625" style="36"/>
    <col min="12545" max="12545" width="6.44140625" style="36" customWidth="1"/>
    <col min="12546" max="12546" width="11.44140625" style="36"/>
    <col min="12547" max="12547" width="17.88671875" style="36" customWidth="1"/>
    <col min="12548" max="12548" width="17.109375" style="36" customWidth="1"/>
    <col min="12549" max="12549" width="32.33203125" style="36" customWidth="1"/>
    <col min="12550" max="12550" width="22.44140625" style="36" customWidth="1"/>
    <col min="12551" max="12551" width="27.88671875" style="36" customWidth="1"/>
    <col min="12552" max="12800" width="11.44140625" style="36"/>
    <col min="12801" max="12801" width="6.44140625" style="36" customWidth="1"/>
    <col min="12802" max="12802" width="11.44140625" style="36"/>
    <col min="12803" max="12803" width="17.88671875" style="36" customWidth="1"/>
    <col min="12804" max="12804" width="17.109375" style="36" customWidth="1"/>
    <col min="12805" max="12805" width="32.33203125" style="36" customWidth="1"/>
    <col min="12806" max="12806" width="22.44140625" style="36" customWidth="1"/>
    <col min="12807" max="12807" width="27.88671875" style="36" customWidth="1"/>
    <col min="12808" max="13056" width="11.44140625" style="36"/>
    <col min="13057" max="13057" width="6.44140625" style="36" customWidth="1"/>
    <col min="13058" max="13058" width="11.44140625" style="36"/>
    <col min="13059" max="13059" width="17.88671875" style="36" customWidth="1"/>
    <col min="13060" max="13060" width="17.109375" style="36" customWidth="1"/>
    <col min="13061" max="13061" width="32.33203125" style="36" customWidth="1"/>
    <col min="13062" max="13062" width="22.44140625" style="36" customWidth="1"/>
    <col min="13063" max="13063" width="27.88671875" style="36" customWidth="1"/>
    <col min="13064" max="13312" width="11.44140625" style="36"/>
    <col min="13313" max="13313" width="6.44140625" style="36" customWidth="1"/>
    <col min="13314" max="13314" width="11.44140625" style="36"/>
    <col min="13315" max="13315" width="17.88671875" style="36" customWidth="1"/>
    <col min="13316" max="13316" width="17.109375" style="36" customWidth="1"/>
    <col min="13317" max="13317" width="32.33203125" style="36" customWidth="1"/>
    <col min="13318" max="13318" width="22.44140625" style="36" customWidth="1"/>
    <col min="13319" max="13319" width="27.88671875" style="36" customWidth="1"/>
    <col min="13320" max="13568" width="11.44140625" style="36"/>
    <col min="13569" max="13569" width="6.44140625" style="36" customWidth="1"/>
    <col min="13570" max="13570" width="11.44140625" style="36"/>
    <col min="13571" max="13571" width="17.88671875" style="36" customWidth="1"/>
    <col min="13572" max="13572" width="17.109375" style="36" customWidth="1"/>
    <col min="13573" max="13573" width="32.33203125" style="36" customWidth="1"/>
    <col min="13574" max="13574" width="22.44140625" style="36" customWidth="1"/>
    <col min="13575" max="13575" width="27.88671875" style="36" customWidth="1"/>
    <col min="13576" max="13824" width="11.44140625" style="36"/>
    <col min="13825" max="13825" width="6.44140625" style="36" customWidth="1"/>
    <col min="13826" max="13826" width="11.44140625" style="36"/>
    <col min="13827" max="13827" width="17.88671875" style="36" customWidth="1"/>
    <col min="13828" max="13828" width="17.109375" style="36" customWidth="1"/>
    <col min="13829" max="13829" width="32.33203125" style="36" customWidth="1"/>
    <col min="13830" max="13830" width="22.44140625" style="36" customWidth="1"/>
    <col min="13831" max="13831" width="27.88671875" style="36" customWidth="1"/>
    <col min="13832" max="14080" width="11.44140625" style="36"/>
    <col min="14081" max="14081" width="6.44140625" style="36" customWidth="1"/>
    <col min="14082" max="14082" width="11.44140625" style="36"/>
    <col min="14083" max="14083" width="17.88671875" style="36" customWidth="1"/>
    <col min="14084" max="14084" width="17.109375" style="36" customWidth="1"/>
    <col min="14085" max="14085" width="32.33203125" style="36" customWidth="1"/>
    <col min="14086" max="14086" width="22.44140625" style="36" customWidth="1"/>
    <col min="14087" max="14087" width="27.88671875" style="36" customWidth="1"/>
    <col min="14088" max="14336" width="11.44140625" style="36"/>
    <col min="14337" max="14337" width="6.44140625" style="36" customWidth="1"/>
    <col min="14338" max="14338" width="11.44140625" style="36"/>
    <col min="14339" max="14339" width="17.88671875" style="36" customWidth="1"/>
    <col min="14340" max="14340" width="17.109375" style="36" customWidth="1"/>
    <col min="14341" max="14341" width="32.33203125" style="36" customWidth="1"/>
    <col min="14342" max="14342" width="22.44140625" style="36" customWidth="1"/>
    <col min="14343" max="14343" width="27.88671875" style="36" customWidth="1"/>
    <col min="14344" max="14592" width="11.44140625" style="36"/>
    <col min="14593" max="14593" width="6.44140625" style="36" customWidth="1"/>
    <col min="14594" max="14594" width="11.44140625" style="36"/>
    <col min="14595" max="14595" width="17.88671875" style="36" customWidth="1"/>
    <col min="14596" max="14596" width="17.109375" style="36" customWidth="1"/>
    <col min="14597" max="14597" width="32.33203125" style="36" customWidth="1"/>
    <col min="14598" max="14598" width="22.44140625" style="36" customWidth="1"/>
    <col min="14599" max="14599" width="27.88671875" style="36" customWidth="1"/>
    <col min="14600" max="14848" width="11.44140625" style="36"/>
    <col min="14849" max="14849" width="6.44140625" style="36" customWidth="1"/>
    <col min="14850" max="14850" width="11.44140625" style="36"/>
    <col min="14851" max="14851" width="17.88671875" style="36" customWidth="1"/>
    <col min="14852" max="14852" width="17.109375" style="36" customWidth="1"/>
    <col min="14853" max="14853" width="32.33203125" style="36" customWidth="1"/>
    <col min="14854" max="14854" width="22.44140625" style="36" customWidth="1"/>
    <col min="14855" max="14855" width="27.88671875" style="36" customWidth="1"/>
    <col min="14856" max="15104" width="11.44140625" style="36"/>
    <col min="15105" max="15105" width="6.44140625" style="36" customWidth="1"/>
    <col min="15106" max="15106" width="11.44140625" style="36"/>
    <col min="15107" max="15107" width="17.88671875" style="36" customWidth="1"/>
    <col min="15108" max="15108" width="17.109375" style="36" customWidth="1"/>
    <col min="15109" max="15109" width="32.33203125" style="36" customWidth="1"/>
    <col min="15110" max="15110" width="22.44140625" style="36" customWidth="1"/>
    <col min="15111" max="15111" width="27.88671875" style="36" customWidth="1"/>
    <col min="15112" max="15360" width="11.44140625" style="36"/>
    <col min="15361" max="15361" width="6.44140625" style="36" customWidth="1"/>
    <col min="15362" max="15362" width="11.44140625" style="36"/>
    <col min="15363" max="15363" width="17.88671875" style="36" customWidth="1"/>
    <col min="15364" max="15364" width="17.109375" style="36" customWidth="1"/>
    <col min="15365" max="15365" width="32.33203125" style="36" customWidth="1"/>
    <col min="15366" max="15366" width="22.44140625" style="36" customWidth="1"/>
    <col min="15367" max="15367" width="27.88671875" style="36" customWidth="1"/>
    <col min="15368" max="15616" width="11.44140625" style="36"/>
    <col min="15617" max="15617" width="6.44140625" style="36" customWidth="1"/>
    <col min="15618" max="15618" width="11.44140625" style="36"/>
    <col min="15619" max="15619" width="17.88671875" style="36" customWidth="1"/>
    <col min="15620" max="15620" width="17.109375" style="36" customWidth="1"/>
    <col min="15621" max="15621" width="32.33203125" style="36" customWidth="1"/>
    <col min="15622" max="15622" width="22.44140625" style="36" customWidth="1"/>
    <col min="15623" max="15623" width="27.88671875" style="36" customWidth="1"/>
    <col min="15624" max="15872" width="11.44140625" style="36"/>
    <col min="15873" max="15873" width="6.44140625" style="36" customWidth="1"/>
    <col min="15874" max="15874" width="11.44140625" style="36"/>
    <col min="15875" max="15875" width="17.88671875" style="36" customWidth="1"/>
    <col min="15876" max="15876" width="17.109375" style="36" customWidth="1"/>
    <col min="15877" max="15877" width="32.33203125" style="36" customWidth="1"/>
    <col min="15878" max="15878" width="22.44140625" style="36" customWidth="1"/>
    <col min="15879" max="15879" width="27.88671875" style="36" customWidth="1"/>
    <col min="15880" max="16128" width="11.44140625" style="36"/>
    <col min="16129" max="16129" width="6.44140625" style="36" customWidth="1"/>
    <col min="16130" max="16130" width="11.44140625" style="36"/>
    <col min="16131" max="16131" width="17.88671875" style="36" customWidth="1"/>
    <col min="16132" max="16132" width="17.109375" style="36" customWidth="1"/>
    <col min="16133" max="16133" width="32.33203125" style="36" customWidth="1"/>
    <col min="16134" max="16134" width="22.44140625" style="36" customWidth="1"/>
    <col min="16135" max="16135" width="27.88671875" style="36" customWidth="1"/>
    <col min="16136" max="16384" width="11.44140625" style="36"/>
  </cols>
  <sheetData>
    <row r="2" spans="2:10" ht="13.5" customHeight="1" x14ac:dyDescent="0.25">
      <c r="B2" s="113" t="s">
        <v>206</v>
      </c>
      <c r="C2" s="114"/>
      <c r="D2" s="114"/>
      <c r="E2" s="114"/>
      <c r="F2" s="114"/>
      <c r="G2" s="114"/>
      <c r="H2" s="114"/>
      <c r="I2" s="114"/>
      <c r="J2" s="115"/>
    </row>
    <row r="3" spans="2:10" ht="43.95" customHeight="1" x14ac:dyDescent="0.3">
      <c r="B3" s="116" t="s">
        <v>207</v>
      </c>
      <c r="C3" s="116" t="s">
        <v>208</v>
      </c>
      <c r="D3" s="116" t="s">
        <v>209</v>
      </c>
      <c r="E3" s="116" t="s">
        <v>210</v>
      </c>
      <c r="F3" s="116" t="s">
        <v>211</v>
      </c>
      <c r="G3" s="116" t="s">
        <v>212</v>
      </c>
      <c r="H3" s="116" t="s">
        <v>213</v>
      </c>
      <c r="I3" s="116"/>
      <c r="J3" s="116"/>
    </row>
    <row r="4" spans="2:10" ht="39.6" x14ac:dyDescent="0.3">
      <c r="B4" s="116"/>
      <c r="C4" s="116"/>
      <c r="D4" s="116"/>
      <c r="E4" s="116"/>
      <c r="F4" s="116"/>
      <c r="G4" s="116"/>
      <c r="H4" s="37" t="s">
        <v>214</v>
      </c>
      <c r="I4" s="38" t="s">
        <v>215</v>
      </c>
      <c r="J4" s="39" t="s">
        <v>216</v>
      </c>
    </row>
    <row r="5" spans="2:10" ht="50.25" customHeight="1" x14ac:dyDescent="0.3">
      <c r="B5" s="40">
        <v>0</v>
      </c>
      <c r="C5" s="117" t="s">
        <v>234</v>
      </c>
      <c r="D5" s="40"/>
      <c r="E5" s="40" t="s">
        <v>217</v>
      </c>
      <c r="F5" s="40" t="s">
        <v>218</v>
      </c>
      <c r="G5" s="40"/>
      <c r="H5" s="117" t="s">
        <v>219</v>
      </c>
      <c r="I5" s="117" t="s">
        <v>220</v>
      </c>
      <c r="J5" s="117" t="s">
        <v>221</v>
      </c>
    </row>
    <row r="6" spans="2:10" ht="84" customHeight="1" x14ac:dyDescent="0.3">
      <c r="B6" s="40">
        <v>1</v>
      </c>
      <c r="C6" s="117"/>
      <c r="D6" s="40" t="s">
        <v>222</v>
      </c>
      <c r="E6" s="40" t="s">
        <v>223</v>
      </c>
      <c r="F6" s="40" t="s">
        <v>224</v>
      </c>
      <c r="G6" s="40" t="s">
        <v>225</v>
      </c>
      <c r="H6" s="117"/>
      <c r="I6" s="117"/>
      <c r="J6" s="117"/>
    </row>
    <row r="7" spans="2:10" ht="54.75" customHeight="1" x14ac:dyDescent="0.3">
      <c r="B7" s="40">
        <v>3</v>
      </c>
      <c r="C7" s="117"/>
      <c r="D7" s="40" t="s">
        <v>226</v>
      </c>
      <c r="E7" s="40" t="s">
        <v>227</v>
      </c>
      <c r="F7" s="40" t="s">
        <v>228</v>
      </c>
      <c r="G7" s="40" t="s">
        <v>229</v>
      </c>
      <c r="H7" s="117"/>
      <c r="I7" s="117"/>
      <c r="J7" s="117"/>
    </row>
    <row r="8" spans="2:10" ht="70.5" customHeight="1" x14ac:dyDescent="0.3">
      <c r="B8" s="40">
        <v>5</v>
      </c>
      <c r="C8" s="117"/>
      <c r="D8" s="40" t="s">
        <v>230</v>
      </c>
      <c r="E8" s="40" t="s">
        <v>231</v>
      </c>
      <c r="F8" s="40" t="s">
        <v>232</v>
      </c>
      <c r="G8" s="40" t="s">
        <v>233</v>
      </c>
      <c r="H8" s="117"/>
      <c r="I8" s="117"/>
      <c r="J8" s="117"/>
    </row>
    <row r="9" spans="2:10" ht="15.75" customHeight="1" x14ac:dyDescent="0.3">
      <c r="B9" s="118" t="s">
        <v>235</v>
      </c>
      <c r="C9" s="118"/>
      <c r="D9" s="118"/>
      <c r="E9" s="118"/>
      <c r="F9" s="118"/>
    </row>
    <row r="11" spans="2:10" x14ac:dyDescent="0.3">
      <c r="C11" s="41"/>
    </row>
  </sheetData>
  <mergeCells count="13">
    <mergeCell ref="C5:C8"/>
    <mergeCell ref="H5:H8"/>
    <mergeCell ref="I5:I8"/>
    <mergeCell ref="J5:J8"/>
    <mergeCell ref="B9:F9"/>
    <mergeCell ref="B2:J2"/>
    <mergeCell ref="B3:B4"/>
    <mergeCell ref="C3:C4"/>
    <mergeCell ref="D3:D4"/>
    <mergeCell ref="E3:E4"/>
    <mergeCell ref="F3:F4"/>
    <mergeCell ref="G3:G4"/>
    <mergeCell ref="H3:J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13"/>
  <sheetViews>
    <sheetView workbookViewId="0">
      <pane xSplit="4" ySplit="3" topLeftCell="E4" activePane="bottomRight" state="frozen"/>
      <selection pane="topRight" activeCell="E1" sqref="E1"/>
      <selection pane="bottomLeft" activeCell="A4" sqref="A4"/>
      <selection pane="bottomRight" activeCell="H11" sqref="H11"/>
    </sheetView>
  </sheetViews>
  <sheetFormatPr baseColWidth="10" defaultRowHeight="29.25" customHeight="1" x14ac:dyDescent="0.3"/>
  <cols>
    <col min="1" max="1" width="3.44140625" customWidth="1"/>
    <col min="2" max="2" width="15.44140625" customWidth="1"/>
    <col min="3" max="3" width="18.109375" customWidth="1"/>
  </cols>
  <sheetData>
    <row r="1" spans="2:17" ht="18.75" customHeight="1" x14ac:dyDescent="0.25"/>
    <row r="2" spans="2:17" ht="29.25" customHeight="1" x14ac:dyDescent="0.3">
      <c r="B2" s="122" t="s">
        <v>138</v>
      </c>
      <c r="C2" s="122" t="s">
        <v>105</v>
      </c>
      <c r="D2" s="122" t="s">
        <v>173</v>
      </c>
      <c r="E2" s="122" t="s">
        <v>174</v>
      </c>
      <c r="F2" s="122"/>
      <c r="G2" s="122" t="s">
        <v>175</v>
      </c>
      <c r="H2" s="122"/>
      <c r="I2" s="122" t="s">
        <v>176</v>
      </c>
      <c r="J2" s="122"/>
      <c r="K2" s="122" t="s">
        <v>177</v>
      </c>
      <c r="L2" s="122"/>
      <c r="M2" s="122" t="s">
        <v>178</v>
      </c>
      <c r="N2" s="122"/>
      <c r="O2" s="122" t="s">
        <v>179</v>
      </c>
      <c r="P2" s="122"/>
      <c r="Q2" s="122" t="s">
        <v>180</v>
      </c>
    </row>
    <row r="3" spans="2:17" ht="29.25" customHeight="1" x14ac:dyDescent="0.3">
      <c r="B3" s="122"/>
      <c r="C3" s="122"/>
      <c r="D3" s="122"/>
      <c r="E3" s="43" t="s">
        <v>181</v>
      </c>
      <c r="F3" s="43" t="s">
        <v>182</v>
      </c>
      <c r="G3" s="43" t="s">
        <v>181</v>
      </c>
      <c r="H3" s="43" t="s">
        <v>182</v>
      </c>
      <c r="I3" s="43" t="s">
        <v>181</v>
      </c>
      <c r="J3" s="43" t="s">
        <v>182</v>
      </c>
      <c r="K3" s="43" t="s">
        <v>181</v>
      </c>
      <c r="L3" s="43" t="s">
        <v>182</v>
      </c>
      <c r="M3" s="43" t="s">
        <v>181</v>
      </c>
      <c r="N3" s="43" t="s">
        <v>182</v>
      </c>
      <c r="O3" s="43" t="s">
        <v>181</v>
      </c>
      <c r="P3" s="43" t="s">
        <v>182</v>
      </c>
      <c r="Q3" s="122"/>
    </row>
    <row r="4" spans="2:17" ht="29.25" customHeight="1" x14ac:dyDescent="0.3">
      <c r="B4" s="44" t="s">
        <v>183</v>
      </c>
      <c r="C4" s="44" t="s">
        <v>185</v>
      </c>
      <c r="D4" s="121" t="s">
        <v>186</v>
      </c>
      <c r="E4" s="44">
        <f>20</f>
        <v>20</v>
      </c>
      <c r="F4" s="44">
        <v>65.3</v>
      </c>
      <c r="G4" s="44" t="s">
        <v>187</v>
      </c>
      <c r="H4" s="44">
        <v>1600</v>
      </c>
      <c r="I4" s="44" t="s">
        <v>188</v>
      </c>
      <c r="J4" s="44">
        <v>1.9</v>
      </c>
      <c r="K4" s="44" t="s">
        <v>189</v>
      </c>
      <c r="L4" s="44">
        <v>5400000</v>
      </c>
      <c r="M4" s="44" t="s">
        <v>190</v>
      </c>
      <c r="N4" s="44">
        <v>5400000</v>
      </c>
      <c r="O4" s="44" t="s">
        <v>191</v>
      </c>
      <c r="P4" s="44">
        <v>7.2</v>
      </c>
      <c r="Q4" s="45" t="s">
        <v>192</v>
      </c>
    </row>
    <row r="5" spans="2:17" ht="29.25" customHeight="1" x14ac:dyDescent="0.3">
      <c r="B5" s="44" t="s">
        <v>184</v>
      </c>
      <c r="C5" s="44" t="s">
        <v>193</v>
      </c>
      <c r="D5" s="121"/>
      <c r="E5" s="44">
        <f>20</f>
        <v>20</v>
      </c>
      <c r="F5" s="44">
        <v>22.6</v>
      </c>
      <c r="G5" s="44" t="s">
        <v>187</v>
      </c>
      <c r="H5" s="44">
        <v>2340</v>
      </c>
      <c r="I5" s="44" t="s">
        <v>188</v>
      </c>
      <c r="J5" s="44">
        <v>4.5</v>
      </c>
      <c r="K5" s="44" t="s">
        <v>189</v>
      </c>
      <c r="L5" s="44">
        <v>920000</v>
      </c>
      <c r="M5" s="44" t="s">
        <v>190</v>
      </c>
      <c r="N5" s="44">
        <v>1600000</v>
      </c>
      <c r="O5" s="44" t="s">
        <v>191</v>
      </c>
      <c r="P5" s="44">
        <v>7.3</v>
      </c>
      <c r="Q5" s="45" t="s">
        <v>192</v>
      </c>
    </row>
    <row r="6" spans="2:17" ht="29.25" customHeight="1" x14ac:dyDescent="0.3">
      <c r="B6" s="44" t="s">
        <v>194</v>
      </c>
      <c r="C6" s="44" t="s">
        <v>196</v>
      </c>
      <c r="D6" s="121" t="s">
        <v>23</v>
      </c>
      <c r="E6" s="44">
        <f>50</f>
        <v>50</v>
      </c>
      <c r="F6" s="44">
        <v>103</v>
      </c>
      <c r="G6" s="44" t="s">
        <v>187</v>
      </c>
      <c r="H6" s="44">
        <v>158</v>
      </c>
      <c r="I6" s="44" t="s">
        <v>197</v>
      </c>
      <c r="J6" s="44">
        <v>0</v>
      </c>
      <c r="K6" s="44" t="s">
        <v>171</v>
      </c>
      <c r="L6" s="44">
        <v>16000000</v>
      </c>
      <c r="M6" s="44" t="s">
        <v>171</v>
      </c>
      <c r="N6" s="44">
        <v>16000000</v>
      </c>
      <c r="O6" s="44" t="s">
        <v>171</v>
      </c>
      <c r="P6" s="44">
        <v>7.2</v>
      </c>
      <c r="Q6" s="45" t="s">
        <v>192</v>
      </c>
    </row>
    <row r="7" spans="2:17" ht="29.25" customHeight="1" x14ac:dyDescent="0.3">
      <c r="B7" s="119" t="s">
        <v>195</v>
      </c>
      <c r="C7" s="44" t="s">
        <v>198</v>
      </c>
      <c r="D7" s="121"/>
      <c r="E7" s="44">
        <f>50</f>
        <v>50</v>
      </c>
      <c r="F7" s="44">
        <v>46.8</v>
      </c>
      <c r="G7" s="44" t="s">
        <v>187</v>
      </c>
      <c r="H7" s="44">
        <v>1740</v>
      </c>
      <c r="I7" s="44" t="s">
        <v>197</v>
      </c>
      <c r="J7" s="44">
        <v>0</v>
      </c>
      <c r="K7" s="44" t="s">
        <v>171</v>
      </c>
      <c r="L7" s="44">
        <v>9200000</v>
      </c>
      <c r="M7" s="44" t="s">
        <v>171</v>
      </c>
      <c r="N7" s="44">
        <v>9200000</v>
      </c>
      <c r="O7" s="44" t="s">
        <v>171</v>
      </c>
      <c r="P7" s="44">
        <v>7.1</v>
      </c>
      <c r="Q7" s="45" t="s">
        <v>192</v>
      </c>
    </row>
    <row r="8" spans="2:17" ht="29.25" customHeight="1" x14ac:dyDescent="0.3">
      <c r="B8" s="120"/>
      <c r="C8" s="44" t="s">
        <v>199</v>
      </c>
      <c r="D8" s="121"/>
      <c r="E8" s="44">
        <f>50</f>
        <v>50</v>
      </c>
      <c r="F8" s="44">
        <v>37.6</v>
      </c>
      <c r="G8" s="44" t="s">
        <v>187</v>
      </c>
      <c r="H8" s="44">
        <v>153</v>
      </c>
      <c r="I8" s="44" t="s">
        <v>197</v>
      </c>
      <c r="J8" s="44">
        <v>0</v>
      </c>
      <c r="K8" s="44" t="s">
        <v>171</v>
      </c>
      <c r="L8" s="44">
        <v>5400000</v>
      </c>
      <c r="M8" s="44" t="s">
        <v>171</v>
      </c>
      <c r="N8" s="44">
        <v>5400000</v>
      </c>
      <c r="O8" s="44" t="s">
        <v>171</v>
      </c>
      <c r="P8" s="44">
        <v>7.2</v>
      </c>
      <c r="Q8" s="45" t="s">
        <v>192</v>
      </c>
    </row>
    <row r="9" spans="2:17" ht="29.25" customHeight="1" x14ac:dyDescent="0.3">
      <c r="B9" s="120"/>
      <c r="C9" s="44" t="s">
        <v>291</v>
      </c>
      <c r="D9" s="121"/>
      <c r="E9" s="63">
        <f>50</f>
        <v>50</v>
      </c>
      <c r="F9" s="63">
        <v>74.400000000000006</v>
      </c>
      <c r="G9" s="63" t="s">
        <v>187</v>
      </c>
      <c r="H9" s="63">
        <v>224</v>
      </c>
      <c r="I9" s="63" t="s">
        <v>197</v>
      </c>
      <c r="J9" s="63">
        <v>2.2999999999999998</v>
      </c>
      <c r="K9" s="63" t="s">
        <v>171</v>
      </c>
      <c r="L9" s="63">
        <v>16000000</v>
      </c>
      <c r="M9" s="63" t="s">
        <v>171</v>
      </c>
      <c r="N9" s="63">
        <v>16000000</v>
      </c>
      <c r="O9" s="63" t="s">
        <v>171</v>
      </c>
      <c r="P9" s="63">
        <v>8.1999999999999993</v>
      </c>
      <c r="Q9" s="64" t="s">
        <v>192</v>
      </c>
    </row>
    <row r="10" spans="2:17" ht="29.25" customHeight="1" x14ac:dyDescent="0.3">
      <c r="B10" s="44" t="s">
        <v>293</v>
      </c>
      <c r="C10" s="44" t="s">
        <v>292</v>
      </c>
      <c r="D10" s="63" t="s">
        <v>23</v>
      </c>
      <c r="E10" s="63" t="s">
        <v>200</v>
      </c>
      <c r="F10" s="63">
        <v>12.5</v>
      </c>
      <c r="G10" s="63" t="s">
        <v>187</v>
      </c>
      <c r="H10" s="63">
        <v>131</v>
      </c>
      <c r="I10" s="63" t="s">
        <v>188</v>
      </c>
      <c r="J10" s="63">
        <v>5</v>
      </c>
      <c r="K10" s="63" t="s">
        <v>171</v>
      </c>
      <c r="L10" s="63">
        <v>540000</v>
      </c>
      <c r="M10" s="63" t="s">
        <v>171</v>
      </c>
      <c r="N10" s="63">
        <v>540000</v>
      </c>
      <c r="O10" s="63" t="s">
        <v>171</v>
      </c>
      <c r="P10" s="63">
        <v>7.3</v>
      </c>
      <c r="Q10" s="65" t="s">
        <v>201</v>
      </c>
    </row>
    <row r="11" spans="2:17" ht="29.25" customHeight="1" x14ac:dyDescent="0.3">
      <c r="B11" s="63" t="s">
        <v>202</v>
      </c>
      <c r="C11" s="44" t="s">
        <v>137</v>
      </c>
      <c r="D11" s="63" t="s">
        <v>186</v>
      </c>
      <c r="E11" s="63">
        <v>10</v>
      </c>
      <c r="F11" s="63">
        <v>11.4</v>
      </c>
      <c r="G11" s="63" t="s">
        <v>203</v>
      </c>
      <c r="H11" s="63">
        <v>10</v>
      </c>
      <c r="I11" s="63">
        <f>5</f>
        <v>5</v>
      </c>
      <c r="J11" s="63">
        <v>4.4000000000000004</v>
      </c>
      <c r="K11" s="63" t="s">
        <v>189</v>
      </c>
      <c r="L11" s="63">
        <v>240000</v>
      </c>
      <c r="M11" s="63" t="s">
        <v>190</v>
      </c>
      <c r="N11" s="63">
        <v>240000</v>
      </c>
      <c r="O11" s="63" t="s">
        <v>191</v>
      </c>
      <c r="P11" s="63">
        <v>7.4</v>
      </c>
      <c r="Q11" s="64" t="s">
        <v>192</v>
      </c>
    </row>
    <row r="12" spans="2:17" ht="29.25" customHeight="1" x14ac:dyDescent="0.3">
      <c r="B12" s="121" t="s">
        <v>204</v>
      </c>
      <c r="C12" s="44" t="s">
        <v>294</v>
      </c>
      <c r="D12" s="63" t="s">
        <v>23</v>
      </c>
      <c r="E12" s="63">
        <f>30</f>
        <v>30</v>
      </c>
      <c r="F12" s="63">
        <v>66.599999999999994</v>
      </c>
      <c r="G12" s="63" t="s">
        <v>187</v>
      </c>
      <c r="H12" s="63">
        <v>162</v>
      </c>
      <c r="I12" s="63" t="s">
        <v>205</v>
      </c>
      <c r="J12" s="63">
        <v>1.9</v>
      </c>
      <c r="K12" s="63" t="s">
        <v>171</v>
      </c>
      <c r="L12" s="63">
        <v>16000000</v>
      </c>
      <c r="M12" s="63" t="s">
        <v>171</v>
      </c>
      <c r="N12" s="63">
        <v>16000000</v>
      </c>
      <c r="O12" s="63" t="s">
        <v>171</v>
      </c>
      <c r="P12" s="63">
        <v>7.4</v>
      </c>
      <c r="Q12" s="64" t="s">
        <v>192</v>
      </c>
    </row>
    <row r="13" spans="2:17" ht="29.25" customHeight="1" x14ac:dyDescent="0.3">
      <c r="B13" s="121"/>
      <c r="C13" s="44" t="s">
        <v>295</v>
      </c>
      <c r="D13" s="63" t="s">
        <v>23</v>
      </c>
      <c r="E13" s="63">
        <f>30</f>
        <v>30</v>
      </c>
      <c r="F13" s="63">
        <v>144</v>
      </c>
      <c r="G13" s="63" t="s">
        <v>187</v>
      </c>
      <c r="H13" s="63">
        <v>177</v>
      </c>
      <c r="I13" s="63" t="s">
        <v>205</v>
      </c>
      <c r="J13" s="63">
        <v>0</v>
      </c>
      <c r="K13" s="63" t="s">
        <v>171</v>
      </c>
      <c r="L13" s="63">
        <v>16000000</v>
      </c>
      <c r="M13" s="63" t="s">
        <v>171</v>
      </c>
      <c r="N13" s="63">
        <v>16000000</v>
      </c>
      <c r="O13" s="63" t="s">
        <v>171</v>
      </c>
      <c r="P13" s="63">
        <v>7.5</v>
      </c>
      <c r="Q13" s="64" t="s">
        <v>192</v>
      </c>
    </row>
  </sheetData>
  <mergeCells count="14">
    <mergeCell ref="B7:B9"/>
    <mergeCell ref="B12:B13"/>
    <mergeCell ref="O2:P2"/>
    <mergeCell ref="Q2:Q3"/>
    <mergeCell ref="D4:D5"/>
    <mergeCell ref="D6:D9"/>
    <mergeCell ref="I2:J2"/>
    <mergeCell ref="K2:L2"/>
    <mergeCell ref="M2:N2"/>
    <mergeCell ref="B2:B3"/>
    <mergeCell ref="C2:C3"/>
    <mergeCell ref="D2:D3"/>
    <mergeCell ref="E2:F2"/>
    <mergeCell ref="G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59"/>
  <sheetViews>
    <sheetView tabSelected="1" zoomScale="70" zoomScaleNormal="70" workbookViewId="0">
      <pane xSplit="2" ySplit="6" topLeftCell="C7" activePane="bottomRight" state="frozen"/>
      <selection pane="topRight" activeCell="C1" sqref="C1"/>
      <selection pane="bottomLeft" activeCell="A6" sqref="A6"/>
      <selection pane="bottomRight" activeCell="E10" sqref="E10"/>
    </sheetView>
  </sheetViews>
  <sheetFormatPr baseColWidth="10" defaultColWidth="11.44140625" defaultRowHeight="13.8" x14ac:dyDescent="0.3"/>
  <cols>
    <col min="1" max="1" width="2.33203125" style="2" customWidth="1"/>
    <col min="2" max="2" width="49.109375" style="2" customWidth="1"/>
    <col min="3" max="3" width="13.5546875" style="2" customWidth="1"/>
    <col min="4" max="4" width="11.44140625" style="2"/>
    <col min="5" max="5" width="19.88671875" style="2" customWidth="1"/>
    <col min="6" max="6" width="26.33203125" style="2" customWidth="1"/>
    <col min="7" max="7" width="19.88671875" style="2" customWidth="1"/>
    <col min="8" max="9" width="17.88671875" style="2" customWidth="1"/>
    <col min="10" max="15" width="9.109375" style="1" customWidth="1"/>
    <col min="16" max="16" width="13.109375" style="1" customWidth="1"/>
    <col min="17" max="19" width="11.6640625" style="1" customWidth="1"/>
    <col min="20" max="20" width="10.44140625" style="27" customWidth="1"/>
    <col min="21" max="22" width="9.88671875" style="28" customWidth="1"/>
    <col min="23" max="32" width="9.88671875" style="27" customWidth="1"/>
    <col min="33" max="35" width="15.33203125" style="28" customWidth="1"/>
    <col min="36" max="36" width="16.44140625" style="28" customWidth="1"/>
    <col min="37" max="37" width="15.33203125" style="28" customWidth="1"/>
    <col min="38" max="38" width="9" style="27" customWidth="1"/>
    <col min="39" max="39" width="6.33203125" style="27" customWidth="1"/>
    <col min="40" max="40" width="15.33203125" style="27" customWidth="1"/>
    <col min="41" max="41" width="21" style="27" customWidth="1"/>
    <col min="42" max="42" width="20.109375" style="27" customWidth="1"/>
    <col min="43" max="43" width="89.5546875" style="29" customWidth="1"/>
    <col min="44" max="44" width="10.109375" style="28" bestFit="1" customWidth="1"/>
    <col min="45" max="45" width="11.6640625" style="28" bestFit="1" customWidth="1"/>
    <col min="46" max="48" width="10" style="28" bestFit="1" customWidth="1"/>
    <col min="49" max="49" width="11.33203125" style="28" bestFit="1" customWidth="1"/>
    <col min="50" max="52" width="10" style="28" bestFit="1" customWidth="1"/>
    <col min="53" max="53" width="10" style="28" customWidth="1"/>
    <col min="54" max="57" width="10" style="28" bestFit="1" customWidth="1"/>
    <col min="58" max="62" width="8.88671875" style="28" customWidth="1"/>
    <col min="63" max="16384" width="11.44140625" style="2"/>
  </cols>
  <sheetData>
    <row r="1" spans="2:62" ht="12.75" x14ac:dyDescent="0.25">
      <c r="J1" s="4"/>
      <c r="K1" s="4"/>
      <c r="L1" s="4"/>
      <c r="M1" s="4"/>
      <c r="N1" s="4">
        <f>+N31*1000</f>
        <v>80</v>
      </c>
      <c r="O1" s="4">
        <f>+O31*1000</f>
        <v>60</v>
      </c>
      <c r="R1" s="1">
        <f>+R15*1000</f>
        <v>21900</v>
      </c>
      <c r="S1" s="1">
        <f>+S15*1000</f>
        <v>135</v>
      </c>
      <c r="T1" s="1"/>
      <c r="U1" s="1"/>
      <c r="V1" s="1"/>
      <c r="W1" s="1" t="s">
        <v>335</v>
      </c>
      <c r="X1" s="28"/>
      <c r="Y1" s="28"/>
      <c r="Z1" s="28"/>
      <c r="AA1" s="28"/>
      <c r="AB1" s="28"/>
      <c r="AC1" s="28"/>
      <c r="AD1" s="28"/>
      <c r="AE1" s="28"/>
      <c r="AF1" s="28"/>
      <c r="AQ1" s="29">
        <f>100/10000*1.6*60*24*365</f>
        <v>8409.6</v>
      </c>
    </row>
    <row r="2" spans="2:62" ht="12.75" x14ac:dyDescent="0.25">
      <c r="P2" s="1">
        <f>P19*1000</f>
        <v>8200</v>
      </c>
      <c r="Q2" s="1">
        <f>Q19*1000</f>
        <v>1700</v>
      </c>
      <c r="R2" s="4">
        <f>+((6.43*365))</f>
        <v>2346.9499999999998</v>
      </c>
      <c r="S2" s="4">
        <f>+((6.43*365))</f>
        <v>2346.9499999999998</v>
      </c>
      <c r="AQ2" s="29">
        <f>100-67.3</f>
        <v>32.700000000000003</v>
      </c>
    </row>
    <row r="3" spans="2:62" x14ac:dyDescent="0.3">
      <c r="T3" s="127" t="s">
        <v>139</v>
      </c>
      <c r="U3" s="112" t="s">
        <v>140</v>
      </c>
      <c r="V3" s="112"/>
      <c r="W3" s="112" t="s">
        <v>172</v>
      </c>
      <c r="X3" s="112"/>
      <c r="Y3" s="112"/>
      <c r="Z3" s="112"/>
      <c r="AA3" s="112"/>
      <c r="AB3" s="112"/>
      <c r="AC3" s="112"/>
      <c r="AD3" s="112"/>
      <c r="AE3" s="112"/>
      <c r="AF3" s="112"/>
      <c r="AG3" s="128" t="s">
        <v>141</v>
      </c>
      <c r="AH3" s="128"/>
      <c r="AI3" s="128"/>
      <c r="AJ3" s="128"/>
      <c r="AK3" s="128"/>
      <c r="AL3" s="129" t="s">
        <v>142</v>
      </c>
      <c r="AM3" s="130"/>
      <c r="AN3" s="130"/>
      <c r="AO3" s="130"/>
      <c r="AP3" s="130"/>
      <c r="AQ3" s="130"/>
      <c r="AR3" s="112" t="s">
        <v>143</v>
      </c>
      <c r="AS3" s="112"/>
      <c r="AT3" s="112"/>
      <c r="AU3" s="112"/>
      <c r="AV3" s="112"/>
      <c r="AW3" s="112"/>
      <c r="AX3" s="112"/>
      <c r="AY3" s="112"/>
      <c r="AZ3" s="112"/>
      <c r="BA3" s="112"/>
      <c r="BB3" s="112"/>
      <c r="BC3" s="112"/>
      <c r="BD3" s="112"/>
      <c r="BE3" s="112"/>
      <c r="BF3" s="112"/>
      <c r="BG3" s="112"/>
      <c r="BH3" s="112"/>
      <c r="BI3" s="112"/>
      <c r="BJ3" s="112"/>
    </row>
    <row r="4" spans="2:62" ht="48.75" customHeight="1" x14ac:dyDescent="0.3">
      <c r="B4" s="107" t="s">
        <v>4</v>
      </c>
      <c r="C4" s="107" t="s">
        <v>94</v>
      </c>
      <c r="D4" s="107" t="s">
        <v>95</v>
      </c>
      <c r="E4" s="107" t="s">
        <v>138</v>
      </c>
      <c r="F4" s="107" t="s">
        <v>105</v>
      </c>
      <c r="G4" s="107"/>
      <c r="H4" s="109" t="s">
        <v>99</v>
      </c>
      <c r="I4" s="109" t="s">
        <v>100</v>
      </c>
      <c r="J4" s="123" t="s">
        <v>162</v>
      </c>
      <c r="K4" s="124"/>
      <c r="L4" s="124"/>
      <c r="M4" s="124"/>
      <c r="N4" s="124"/>
      <c r="O4" s="125"/>
      <c r="P4" s="107" t="s">
        <v>163</v>
      </c>
      <c r="Q4" s="107"/>
      <c r="R4" s="107"/>
      <c r="S4" s="107"/>
      <c r="T4" s="127"/>
      <c r="U4" s="112"/>
      <c r="V4" s="112"/>
      <c r="W4" s="112"/>
      <c r="X4" s="112"/>
      <c r="Y4" s="112"/>
      <c r="Z4" s="112"/>
      <c r="AA4" s="112"/>
      <c r="AB4" s="112"/>
      <c r="AC4" s="112"/>
      <c r="AD4" s="112"/>
      <c r="AE4" s="112"/>
      <c r="AF4" s="112"/>
      <c r="AG4" s="128"/>
      <c r="AH4" s="128"/>
      <c r="AI4" s="128"/>
      <c r="AJ4" s="128"/>
      <c r="AK4" s="128"/>
      <c r="AL4" s="130"/>
      <c r="AM4" s="130"/>
      <c r="AN4" s="130"/>
      <c r="AO4" s="130"/>
      <c r="AP4" s="130"/>
      <c r="AQ4" s="130"/>
      <c r="AR4" s="108" t="s">
        <v>144</v>
      </c>
      <c r="AS4" s="108"/>
      <c r="AT4" s="108" t="s">
        <v>145</v>
      </c>
      <c r="AU4" s="108"/>
      <c r="AV4" s="108" t="s">
        <v>146</v>
      </c>
      <c r="AW4" s="108"/>
      <c r="AX4" s="108"/>
      <c r="AY4" s="108"/>
      <c r="AZ4" s="108"/>
      <c r="BA4" s="108"/>
      <c r="BB4" s="108"/>
      <c r="BC4" s="108"/>
      <c r="BD4" s="108"/>
      <c r="BE4" s="108"/>
      <c r="BF4" s="105" t="s">
        <v>147</v>
      </c>
      <c r="BG4" s="105"/>
      <c r="BH4" s="105"/>
      <c r="BI4" s="105"/>
      <c r="BJ4" s="105"/>
    </row>
    <row r="5" spans="2:62" ht="56.25" customHeight="1" x14ac:dyDescent="0.3">
      <c r="B5" s="107"/>
      <c r="C5" s="107"/>
      <c r="D5" s="107"/>
      <c r="E5" s="107"/>
      <c r="F5" s="22" t="s">
        <v>110</v>
      </c>
      <c r="G5" s="22" t="s">
        <v>111</v>
      </c>
      <c r="H5" s="110"/>
      <c r="I5" s="110"/>
      <c r="J5" s="131" t="s">
        <v>5</v>
      </c>
      <c r="K5" s="131"/>
      <c r="L5" s="131" t="s">
        <v>6</v>
      </c>
      <c r="M5" s="131"/>
      <c r="N5" s="131" t="s">
        <v>7</v>
      </c>
      <c r="O5" s="131"/>
      <c r="P5" s="107" t="s">
        <v>161</v>
      </c>
      <c r="Q5" s="107"/>
      <c r="R5" s="107" t="s">
        <v>165</v>
      </c>
      <c r="S5" s="107"/>
      <c r="T5" s="127"/>
      <c r="U5" s="112"/>
      <c r="V5" s="112"/>
      <c r="W5" s="112" t="s">
        <v>0</v>
      </c>
      <c r="X5" s="112"/>
      <c r="Y5" s="112"/>
      <c r="Z5" s="112"/>
      <c r="AA5" s="112"/>
      <c r="AB5" s="112" t="s">
        <v>1</v>
      </c>
      <c r="AC5" s="112"/>
      <c r="AD5" s="112"/>
      <c r="AE5" s="112"/>
      <c r="AF5" s="112"/>
      <c r="AG5" s="126" t="s">
        <v>148</v>
      </c>
      <c r="AH5" s="126" t="s">
        <v>149</v>
      </c>
      <c r="AI5" s="126" t="s">
        <v>150</v>
      </c>
      <c r="AJ5" s="126" t="s">
        <v>151</v>
      </c>
      <c r="AK5" s="126" t="s">
        <v>152</v>
      </c>
      <c r="AL5" s="126" t="s">
        <v>153</v>
      </c>
      <c r="AM5" s="126" t="s">
        <v>154</v>
      </c>
      <c r="AN5" s="126" t="s">
        <v>155</v>
      </c>
      <c r="AO5" s="126"/>
      <c r="AP5" s="126"/>
      <c r="AQ5" s="126" t="s">
        <v>156</v>
      </c>
      <c r="AR5" s="108"/>
      <c r="AS5" s="108"/>
      <c r="AT5" s="108"/>
      <c r="AU5" s="108"/>
      <c r="AV5" s="105" t="s">
        <v>0</v>
      </c>
      <c r="AW5" s="105"/>
      <c r="AX5" s="105"/>
      <c r="AY5" s="105"/>
      <c r="AZ5" s="105"/>
      <c r="BA5" s="105" t="s">
        <v>1</v>
      </c>
      <c r="BB5" s="105"/>
      <c r="BC5" s="105"/>
      <c r="BD5" s="105"/>
      <c r="BE5" s="105"/>
      <c r="BF5" s="105"/>
      <c r="BG5" s="105"/>
      <c r="BH5" s="105"/>
      <c r="BI5" s="105"/>
      <c r="BJ5" s="105"/>
    </row>
    <row r="6" spans="2:62" ht="50.4" customHeight="1" x14ac:dyDescent="0.3">
      <c r="B6" s="107"/>
      <c r="C6" s="107"/>
      <c r="D6" s="107"/>
      <c r="E6" s="107"/>
      <c r="F6" s="23"/>
      <c r="G6" s="23"/>
      <c r="H6" s="111"/>
      <c r="I6" s="111"/>
      <c r="J6" s="25" t="s">
        <v>0</v>
      </c>
      <c r="K6" s="25" t="s">
        <v>1</v>
      </c>
      <c r="L6" s="25" t="s">
        <v>0</v>
      </c>
      <c r="M6" s="25" t="s">
        <v>1</v>
      </c>
      <c r="N6" s="25" t="s">
        <v>0</v>
      </c>
      <c r="O6" s="25" t="s">
        <v>1</v>
      </c>
      <c r="P6" s="21" t="s">
        <v>0</v>
      </c>
      <c r="Q6" s="21" t="s">
        <v>1</v>
      </c>
      <c r="R6" s="21" t="s">
        <v>0</v>
      </c>
      <c r="S6" s="21" t="s">
        <v>1</v>
      </c>
      <c r="T6" s="127"/>
      <c r="U6" s="24" t="s">
        <v>0</v>
      </c>
      <c r="V6" s="24" t="s">
        <v>1</v>
      </c>
      <c r="W6" s="24">
        <v>2015</v>
      </c>
      <c r="X6" s="24">
        <v>2016</v>
      </c>
      <c r="Y6" s="24">
        <v>2017</v>
      </c>
      <c r="Z6" s="24">
        <v>2018</v>
      </c>
      <c r="AA6" s="24">
        <v>2019</v>
      </c>
      <c r="AB6" s="24">
        <v>2015</v>
      </c>
      <c r="AC6" s="24">
        <v>2016</v>
      </c>
      <c r="AD6" s="24">
        <v>2017</v>
      </c>
      <c r="AE6" s="24">
        <v>2018</v>
      </c>
      <c r="AF6" s="24">
        <v>2019</v>
      </c>
      <c r="AG6" s="126"/>
      <c r="AH6" s="126"/>
      <c r="AI6" s="126"/>
      <c r="AJ6" s="126"/>
      <c r="AK6" s="126"/>
      <c r="AL6" s="126"/>
      <c r="AM6" s="126"/>
      <c r="AN6" s="30" t="s">
        <v>157</v>
      </c>
      <c r="AO6" s="31" t="s">
        <v>158</v>
      </c>
      <c r="AP6" s="32" t="s">
        <v>159</v>
      </c>
      <c r="AQ6" s="130"/>
      <c r="AR6" s="33" t="s">
        <v>0</v>
      </c>
      <c r="AS6" s="33" t="s">
        <v>1</v>
      </c>
      <c r="AT6" s="33" t="s">
        <v>0</v>
      </c>
      <c r="AU6" s="33" t="s">
        <v>1</v>
      </c>
      <c r="AV6" s="33">
        <v>2015</v>
      </c>
      <c r="AW6" s="33">
        <v>2016</v>
      </c>
      <c r="AX6" s="33">
        <v>2017</v>
      </c>
      <c r="AY6" s="33">
        <v>2018</v>
      </c>
      <c r="AZ6" s="33">
        <v>2019</v>
      </c>
      <c r="BA6" s="33">
        <v>2015</v>
      </c>
      <c r="BB6" s="33">
        <v>2016</v>
      </c>
      <c r="BC6" s="33">
        <v>2017</v>
      </c>
      <c r="BD6" s="33">
        <v>2018</v>
      </c>
      <c r="BE6" s="33">
        <v>2019</v>
      </c>
      <c r="BF6" s="33">
        <v>2014</v>
      </c>
      <c r="BG6" s="33">
        <v>2015</v>
      </c>
      <c r="BH6" s="33">
        <v>2016</v>
      </c>
      <c r="BI6" s="33">
        <v>2017</v>
      </c>
      <c r="BJ6" s="33">
        <v>2018</v>
      </c>
    </row>
    <row r="7" spans="2:62" ht="18" customHeight="1" x14ac:dyDescent="0.3">
      <c r="B7" s="3" t="s">
        <v>92</v>
      </c>
      <c r="C7" s="3" t="s">
        <v>101</v>
      </c>
      <c r="D7" s="5" t="s">
        <v>91</v>
      </c>
      <c r="E7" s="5" t="s">
        <v>96</v>
      </c>
      <c r="F7" s="5" t="s">
        <v>113</v>
      </c>
      <c r="G7" s="5" t="s">
        <v>106</v>
      </c>
      <c r="H7" s="6" t="s">
        <v>23</v>
      </c>
      <c r="I7" s="6" t="s">
        <v>23</v>
      </c>
      <c r="J7" s="4">
        <v>0.03</v>
      </c>
      <c r="K7" s="4">
        <v>5.6000000000000001E-2</v>
      </c>
      <c r="L7" s="4" t="s">
        <v>9</v>
      </c>
      <c r="M7" s="4" t="s">
        <v>9</v>
      </c>
      <c r="N7" s="4">
        <v>0.03</v>
      </c>
      <c r="O7" s="4">
        <v>0.05</v>
      </c>
      <c r="P7" s="4">
        <v>0.03</v>
      </c>
      <c r="Q7" s="4">
        <v>0.05</v>
      </c>
      <c r="R7" s="4">
        <f>+(17.7*12)/1000</f>
        <v>0.21239999999999998</v>
      </c>
      <c r="S7" s="4">
        <f>+(4.5*12)/1000</f>
        <v>5.3999999999999999E-2</v>
      </c>
      <c r="T7" s="3" t="s">
        <v>164</v>
      </c>
      <c r="U7" s="3">
        <v>262.8</v>
      </c>
      <c r="V7" s="3">
        <v>98.55</v>
      </c>
      <c r="W7" s="3">
        <v>262.8</v>
      </c>
      <c r="X7" s="3">
        <v>262.8</v>
      </c>
      <c r="Y7" s="3">
        <v>262.8</v>
      </c>
      <c r="Z7" s="3">
        <v>262.8</v>
      </c>
      <c r="AA7" s="3">
        <v>262.8</v>
      </c>
      <c r="AB7" s="3">
        <v>98.55</v>
      </c>
      <c r="AC7" s="3">
        <v>98.55</v>
      </c>
      <c r="AD7" s="3">
        <v>98.55</v>
      </c>
      <c r="AE7" s="3">
        <v>98.55</v>
      </c>
      <c r="AF7" s="3">
        <v>98.55</v>
      </c>
      <c r="AG7" s="34">
        <v>5</v>
      </c>
      <c r="AH7" s="34">
        <v>5</v>
      </c>
      <c r="AI7" s="34">
        <v>5</v>
      </c>
      <c r="AJ7" s="34">
        <v>5</v>
      </c>
      <c r="AK7" s="34">
        <v>5</v>
      </c>
      <c r="AL7" s="4">
        <f>SUM(AG7:AK7)</f>
        <v>25</v>
      </c>
      <c r="AM7" s="4">
        <f>(AL7/25)*100</f>
        <v>100</v>
      </c>
      <c r="AN7" s="30" t="s">
        <v>236</v>
      </c>
      <c r="AO7" s="35"/>
      <c r="AP7" s="35"/>
      <c r="AQ7" s="3" t="s">
        <v>286</v>
      </c>
      <c r="AR7" s="3">
        <f>U7</f>
        <v>262.8</v>
      </c>
      <c r="AS7" s="3">
        <f>V7</f>
        <v>98.55</v>
      </c>
      <c r="AT7" s="2">
        <f>AZ7</f>
        <v>262.8</v>
      </c>
      <c r="AU7" s="3">
        <f>BE7</f>
        <v>98.55</v>
      </c>
      <c r="AV7" s="3">
        <f>W7</f>
        <v>262.8</v>
      </c>
      <c r="AW7" s="3">
        <f t="shared" ref="AW7:BE7" si="0">X7</f>
        <v>262.8</v>
      </c>
      <c r="AX7" s="3">
        <f t="shared" si="0"/>
        <v>262.8</v>
      </c>
      <c r="AY7" s="3">
        <f t="shared" si="0"/>
        <v>262.8</v>
      </c>
      <c r="AZ7" s="3">
        <f t="shared" si="0"/>
        <v>262.8</v>
      </c>
      <c r="BA7" s="3">
        <f t="shared" si="0"/>
        <v>98.55</v>
      </c>
      <c r="BB7" s="3">
        <f t="shared" si="0"/>
        <v>98.55</v>
      </c>
      <c r="BC7" s="3">
        <f t="shared" si="0"/>
        <v>98.55</v>
      </c>
      <c r="BD7" s="3">
        <f t="shared" si="0"/>
        <v>98.55</v>
      </c>
      <c r="BE7" s="3">
        <f t="shared" si="0"/>
        <v>98.55</v>
      </c>
      <c r="BF7" s="19" t="s">
        <v>167</v>
      </c>
      <c r="BG7" s="19" t="s">
        <v>167</v>
      </c>
      <c r="BH7" s="19" t="s">
        <v>167</v>
      </c>
      <c r="BI7" s="19" t="s">
        <v>167</v>
      </c>
      <c r="BJ7" s="19" t="s">
        <v>167</v>
      </c>
    </row>
    <row r="8" spans="2:62" ht="11.25" customHeight="1" x14ac:dyDescent="0.3">
      <c r="B8" s="3" t="s">
        <v>237</v>
      </c>
      <c r="C8" s="3" t="s">
        <v>101</v>
      </c>
      <c r="D8" s="5" t="s">
        <v>91</v>
      </c>
      <c r="E8" s="5" t="s">
        <v>96</v>
      </c>
      <c r="F8" s="5" t="s">
        <v>113</v>
      </c>
      <c r="G8" s="5" t="s">
        <v>107</v>
      </c>
      <c r="H8" s="6" t="s">
        <v>23</v>
      </c>
      <c r="I8" s="6" t="s">
        <v>23</v>
      </c>
      <c r="J8" s="4">
        <v>239.25</v>
      </c>
      <c r="K8" s="4">
        <v>177.8</v>
      </c>
      <c r="L8" s="4">
        <v>326.29000000000002</v>
      </c>
      <c r="M8" s="4">
        <v>256.39</v>
      </c>
      <c r="N8" s="4">
        <v>239.19</v>
      </c>
      <c r="O8" s="4">
        <v>177.76</v>
      </c>
      <c r="P8" s="4">
        <v>233.36</v>
      </c>
      <c r="Q8" s="4">
        <v>173.42</v>
      </c>
      <c r="R8" s="26" t="s">
        <v>171</v>
      </c>
      <c r="S8" s="26" t="s">
        <v>171</v>
      </c>
      <c r="T8" s="3" t="s">
        <v>160</v>
      </c>
      <c r="U8" s="26" t="s">
        <v>171</v>
      </c>
      <c r="V8" s="26" t="s">
        <v>171</v>
      </c>
      <c r="W8" s="26" t="s">
        <v>171</v>
      </c>
      <c r="X8" s="26" t="s">
        <v>171</v>
      </c>
      <c r="Y8" s="26" t="s">
        <v>171</v>
      </c>
      <c r="Z8" s="26" t="s">
        <v>171</v>
      </c>
      <c r="AA8" s="26" t="s">
        <v>171</v>
      </c>
      <c r="AB8" s="26" t="s">
        <v>171</v>
      </c>
      <c r="AC8" s="26" t="s">
        <v>171</v>
      </c>
      <c r="AD8" s="26" t="s">
        <v>171</v>
      </c>
      <c r="AE8" s="26" t="s">
        <v>171</v>
      </c>
      <c r="AF8" s="26" t="s">
        <v>171</v>
      </c>
      <c r="AG8" s="26" t="s">
        <v>171</v>
      </c>
      <c r="AH8" s="26" t="s">
        <v>171</v>
      </c>
      <c r="AI8" s="26" t="s">
        <v>171</v>
      </c>
      <c r="AJ8" s="26" t="s">
        <v>171</v>
      </c>
      <c r="AK8" s="26" t="s">
        <v>171</v>
      </c>
      <c r="AL8" s="26" t="s">
        <v>171</v>
      </c>
      <c r="AM8" s="26" t="s">
        <v>171</v>
      </c>
      <c r="AN8" s="26" t="s">
        <v>171</v>
      </c>
      <c r="AO8" s="26" t="s">
        <v>171</v>
      </c>
      <c r="AP8" s="26" t="s">
        <v>171</v>
      </c>
      <c r="AQ8" s="3" t="s">
        <v>287</v>
      </c>
      <c r="AR8" s="3">
        <f>P8*1000*0.94</f>
        <v>219358.4</v>
      </c>
      <c r="AS8" s="3">
        <f>Q8*1000*0.9</f>
        <v>156078</v>
      </c>
      <c r="AT8" s="3">
        <f>N8*1000*0.94</f>
        <v>224838.59999999998</v>
      </c>
      <c r="AU8" s="3">
        <f>O8*1000*0.9</f>
        <v>159984</v>
      </c>
      <c r="AV8" s="42">
        <f>AR8</f>
        <v>219358.4</v>
      </c>
      <c r="AW8" s="42">
        <f>AV8</f>
        <v>219358.4</v>
      </c>
      <c r="AX8" s="42">
        <f t="shared" ref="AX8:AY8" si="1">AW8</f>
        <v>219358.4</v>
      </c>
      <c r="AY8" s="42">
        <f t="shared" si="1"/>
        <v>219358.4</v>
      </c>
      <c r="AZ8" s="3">
        <f>AT8</f>
        <v>224838.59999999998</v>
      </c>
      <c r="BA8" s="3">
        <f>AS8</f>
        <v>156078</v>
      </c>
      <c r="BB8" s="3">
        <f>BA8</f>
        <v>156078</v>
      </c>
      <c r="BC8" s="3">
        <f t="shared" ref="BC8:BD8" si="2">BB8</f>
        <v>156078</v>
      </c>
      <c r="BD8" s="3">
        <f t="shared" si="2"/>
        <v>156078</v>
      </c>
      <c r="BE8" s="3">
        <f>AU8</f>
        <v>159984</v>
      </c>
      <c r="BF8" s="3">
        <v>0</v>
      </c>
      <c r="BG8" s="3">
        <v>0</v>
      </c>
      <c r="BH8" s="3">
        <v>0</v>
      </c>
      <c r="BI8" s="3">
        <v>0</v>
      </c>
      <c r="BJ8" s="3">
        <v>0</v>
      </c>
    </row>
    <row r="9" spans="2:62" s="9" customFormat="1" ht="10.5" customHeight="1" x14ac:dyDescent="0.3">
      <c r="B9" s="7" t="s">
        <v>93</v>
      </c>
      <c r="C9" s="7" t="s">
        <v>101</v>
      </c>
      <c r="D9" s="79" t="s">
        <v>91</v>
      </c>
      <c r="E9" s="79" t="s">
        <v>96</v>
      </c>
      <c r="F9" s="79" t="s">
        <v>113</v>
      </c>
      <c r="G9" s="79" t="s">
        <v>108</v>
      </c>
      <c r="H9" s="10" t="s">
        <v>23</v>
      </c>
      <c r="I9" s="10" t="s">
        <v>23</v>
      </c>
      <c r="J9" s="8">
        <v>59.7</v>
      </c>
      <c r="K9" s="8">
        <v>38.51</v>
      </c>
      <c r="L9" s="8">
        <v>59.7</v>
      </c>
      <c r="M9" s="8">
        <v>38.51</v>
      </c>
      <c r="N9" s="8">
        <v>59.7</v>
      </c>
      <c r="O9" s="8">
        <v>38.51</v>
      </c>
      <c r="P9" s="8">
        <v>95.8</v>
      </c>
      <c r="Q9" s="8">
        <v>72.209999999999994</v>
      </c>
      <c r="R9" s="80">
        <f>(((13.64*43*86400)/1000000)*271)/1000</f>
        <v>13.733013888</v>
      </c>
      <c r="S9" s="80">
        <f>(((13.64*60*86400)/1000000)*271)/1000</f>
        <v>19.162344960000006</v>
      </c>
      <c r="T9" s="7" t="s">
        <v>164</v>
      </c>
      <c r="U9" s="81">
        <v>95800</v>
      </c>
      <c r="V9" s="81">
        <v>72210</v>
      </c>
      <c r="W9" s="81">
        <v>55300</v>
      </c>
      <c r="X9" s="81">
        <v>59171</v>
      </c>
      <c r="Y9" s="81">
        <v>55440</v>
      </c>
      <c r="Z9" s="81">
        <v>44350</v>
      </c>
      <c r="AA9" s="81">
        <v>45870</v>
      </c>
      <c r="AB9" s="81">
        <v>39500</v>
      </c>
      <c r="AC9" s="81">
        <v>39400</v>
      </c>
      <c r="AD9" s="81">
        <v>35482</v>
      </c>
      <c r="AE9" s="81">
        <v>22176</v>
      </c>
      <c r="AF9" s="81">
        <v>22935</v>
      </c>
      <c r="AG9" s="81">
        <v>5</v>
      </c>
      <c r="AH9" s="81">
        <v>1</v>
      </c>
      <c r="AI9" s="81">
        <v>0</v>
      </c>
      <c r="AJ9" s="81">
        <v>5</v>
      </c>
      <c r="AK9" s="81">
        <v>5</v>
      </c>
      <c r="AL9" s="4">
        <f t="shared" ref="AL9" si="3">SUM(AG9:AK9)</f>
        <v>16</v>
      </c>
      <c r="AM9" s="4">
        <f t="shared" ref="AM9" si="4">(AL9/25)*100</f>
        <v>64</v>
      </c>
      <c r="AN9" s="15"/>
      <c r="AO9" s="68" t="s">
        <v>236</v>
      </c>
      <c r="AP9" s="81"/>
      <c r="AQ9" s="7" t="s">
        <v>316</v>
      </c>
      <c r="AR9" s="82">
        <f>R9*1000</f>
        <v>13733.013887999999</v>
      </c>
      <c r="AS9" s="82">
        <f>S9*1000</f>
        <v>19162.344960000006</v>
      </c>
      <c r="AT9" s="82">
        <f>AZ9</f>
        <v>13733.013887999999</v>
      </c>
      <c r="AU9" s="82">
        <f>BE9</f>
        <v>19162.344960000006</v>
      </c>
      <c r="AV9" s="82">
        <f>AR9</f>
        <v>13733.013887999999</v>
      </c>
      <c r="AW9" s="82">
        <f>AV9</f>
        <v>13733.013887999999</v>
      </c>
      <c r="AX9" s="82">
        <f t="shared" ref="AX9:AX10" si="5">AW9</f>
        <v>13733.013887999999</v>
      </c>
      <c r="AY9" s="82">
        <f t="shared" ref="AY9:AY10" si="6">AX9</f>
        <v>13733.013887999999</v>
      </c>
      <c r="AZ9" s="82">
        <f t="shared" ref="AZ9" si="7">AY9</f>
        <v>13733.013887999999</v>
      </c>
      <c r="BA9" s="82">
        <f>AS9</f>
        <v>19162.344960000006</v>
      </c>
      <c r="BB9" s="82">
        <f>BA9</f>
        <v>19162.344960000006</v>
      </c>
      <c r="BC9" s="82">
        <f t="shared" ref="BC9:BC10" si="8">BB9</f>
        <v>19162.344960000006</v>
      </c>
      <c r="BD9" s="82">
        <f t="shared" ref="BD9:BD10" si="9">BC9</f>
        <v>19162.344960000006</v>
      </c>
      <c r="BE9" s="82">
        <f t="shared" ref="BE9" si="10">BD9</f>
        <v>19162.344960000006</v>
      </c>
      <c r="BF9" s="83" t="s">
        <v>167</v>
      </c>
      <c r="BG9" s="83" t="s">
        <v>167</v>
      </c>
      <c r="BH9" s="83" t="s">
        <v>167</v>
      </c>
      <c r="BI9" s="83" t="s">
        <v>167</v>
      </c>
      <c r="BJ9" s="83" t="s">
        <v>167</v>
      </c>
    </row>
    <row r="10" spans="2:62" s="9" customFormat="1" ht="15.75" customHeight="1" x14ac:dyDescent="0.3">
      <c r="B10" s="7" t="s">
        <v>89</v>
      </c>
      <c r="C10" s="7" t="s">
        <v>103</v>
      </c>
      <c r="D10" s="7" t="s">
        <v>97</v>
      </c>
      <c r="E10" s="10" t="s">
        <v>84</v>
      </c>
      <c r="F10" s="10" t="s">
        <v>114</v>
      </c>
      <c r="G10" s="10" t="s">
        <v>116</v>
      </c>
      <c r="H10" s="10" t="s">
        <v>23</v>
      </c>
      <c r="I10" s="10" t="s">
        <v>23</v>
      </c>
      <c r="J10" s="8">
        <v>0.03</v>
      </c>
      <c r="K10" s="8">
        <v>0.03</v>
      </c>
      <c r="L10" s="8" t="s">
        <v>9</v>
      </c>
      <c r="M10" s="8" t="s">
        <v>9</v>
      </c>
      <c r="N10" s="8">
        <v>0.03</v>
      </c>
      <c r="O10" s="8">
        <v>0.03</v>
      </c>
      <c r="P10" s="8">
        <v>0.03</v>
      </c>
      <c r="Q10" s="8">
        <v>3.1E-2</v>
      </c>
      <c r="R10" s="26" t="s">
        <v>171</v>
      </c>
      <c r="S10" s="26" t="s">
        <v>171</v>
      </c>
      <c r="T10" s="3" t="s">
        <v>160</v>
      </c>
      <c r="U10" s="15" t="s">
        <v>166</v>
      </c>
      <c r="V10" s="15" t="s">
        <v>166</v>
      </c>
      <c r="W10" s="15" t="s">
        <v>166</v>
      </c>
      <c r="X10" s="15" t="s">
        <v>166</v>
      </c>
      <c r="Y10" s="15" t="s">
        <v>166</v>
      </c>
      <c r="Z10" s="15" t="s">
        <v>166</v>
      </c>
      <c r="AA10" s="15" t="s">
        <v>166</v>
      </c>
      <c r="AB10" s="15" t="s">
        <v>166</v>
      </c>
      <c r="AC10" s="15" t="s">
        <v>166</v>
      </c>
      <c r="AD10" s="15" t="s">
        <v>166</v>
      </c>
      <c r="AE10" s="15" t="s">
        <v>166</v>
      </c>
      <c r="AF10" s="15" t="s">
        <v>166</v>
      </c>
      <c r="AG10" s="15" t="s">
        <v>166</v>
      </c>
      <c r="AH10" s="15" t="s">
        <v>166</v>
      </c>
      <c r="AI10" s="15" t="s">
        <v>166</v>
      </c>
      <c r="AJ10" s="15" t="s">
        <v>166</v>
      </c>
      <c r="AK10" s="15" t="s">
        <v>166</v>
      </c>
      <c r="AL10" s="15" t="s">
        <v>166</v>
      </c>
      <c r="AM10" s="15" t="s">
        <v>166</v>
      </c>
      <c r="AN10" s="15" t="s">
        <v>166</v>
      </c>
      <c r="AO10" s="15" t="s">
        <v>166</v>
      </c>
      <c r="AP10" s="15" t="s">
        <v>166</v>
      </c>
      <c r="AQ10" s="7" t="s">
        <v>296</v>
      </c>
      <c r="AR10" s="7">
        <f>P10*1000</f>
        <v>30</v>
      </c>
      <c r="AS10" s="7">
        <f>Q10*1000</f>
        <v>31</v>
      </c>
      <c r="AT10" s="7">
        <f>N10*1000</f>
        <v>30</v>
      </c>
      <c r="AU10" s="7">
        <f>O10*1000</f>
        <v>30</v>
      </c>
      <c r="AV10" s="7">
        <f>AR10</f>
        <v>30</v>
      </c>
      <c r="AW10" s="7">
        <f>AV10</f>
        <v>30</v>
      </c>
      <c r="AX10" s="7">
        <f t="shared" si="5"/>
        <v>30</v>
      </c>
      <c r="AY10" s="7">
        <f t="shared" si="6"/>
        <v>30</v>
      </c>
      <c r="AZ10" s="7">
        <f>+AT10</f>
        <v>30</v>
      </c>
      <c r="BA10" s="7">
        <f>AS10</f>
        <v>31</v>
      </c>
      <c r="BB10" s="7">
        <f>BA10</f>
        <v>31</v>
      </c>
      <c r="BC10" s="7">
        <f t="shared" si="8"/>
        <v>31</v>
      </c>
      <c r="BD10" s="7">
        <f t="shared" si="9"/>
        <v>31</v>
      </c>
      <c r="BE10" s="7">
        <f>+AU10</f>
        <v>30</v>
      </c>
      <c r="BF10" s="15" t="s">
        <v>167</v>
      </c>
      <c r="BG10" s="15" t="s">
        <v>167</v>
      </c>
      <c r="BH10" s="15" t="s">
        <v>167</v>
      </c>
      <c r="BI10" s="15" t="s">
        <v>167</v>
      </c>
      <c r="BJ10" s="15" t="s">
        <v>167</v>
      </c>
    </row>
    <row r="11" spans="2:62" s="9" customFormat="1" ht="12" customHeight="1" x14ac:dyDescent="0.3">
      <c r="B11" s="7" t="s">
        <v>90</v>
      </c>
      <c r="C11" s="7" t="s">
        <v>103</v>
      </c>
      <c r="D11" s="7" t="s">
        <v>118</v>
      </c>
      <c r="E11" s="10" t="s">
        <v>84</v>
      </c>
      <c r="F11" s="10" t="s">
        <v>114</v>
      </c>
      <c r="G11" s="10" t="s">
        <v>116</v>
      </c>
      <c r="H11" s="10" t="s">
        <v>23</v>
      </c>
      <c r="I11" s="10" t="s">
        <v>23</v>
      </c>
      <c r="J11" s="8">
        <v>0.14000000000000001</v>
      </c>
      <c r="K11" s="8">
        <v>0.03</v>
      </c>
      <c r="L11" s="8" t="s">
        <v>9</v>
      </c>
      <c r="M11" s="8" t="s">
        <v>9</v>
      </c>
      <c r="N11" s="8">
        <v>0.14000000000000001</v>
      </c>
      <c r="O11" s="8">
        <v>0.03</v>
      </c>
      <c r="P11" s="8">
        <v>0.14000000000000001</v>
      </c>
      <c r="Q11" s="8">
        <v>3.3000000000000002E-2</v>
      </c>
      <c r="R11" s="26" t="s">
        <v>171</v>
      </c>
      <c r="S11" s="26" t="s">
        <v>171</v>
      </c>
      <c r="T11" s="3" t="s">
        <v>160</v>
      </c>
      <c r="U11" s="15" t="s">
        <v>166</v>
      </c>
      <c r="V11" s="15" t="s">
        <v>166</v>
      </c>
      <c r="W11" s="15" t="s">
        <v>166</v>
      </c>
      <c r="X11" s="15" t="s">
        <v>166</v>
      </c>
      <c r="Y11" s="15" t="s">
        <v>166</v>
      </c>
      <c r="Z11" s="15" t="s">
        <v>166</v>
      </c>
      <c r="AA11" s="15" t="s">
        <v>166</v>
      </c>
      <c r="AB11" s="15" t="s">
        <v>166</v>
      </c>
      <c r="AC11" s="15" t="s">
        <v>166</v>
      </c>
      <c r="AD11" s="15" t="s">
        <v>166</v>
      </c>
      <c r="AE11" s="15" t="s">
        <v>166</v>
      </c>
      <c r="AF11" s="15" t="s">
        <v>166</v>
      </c>
      <c r="AG11" s="15" t="s">
        <v>166</v>
      </c>
      <c r="AH11" s="15" t="s">
        <v>166</v>
      </c>
      <c r="AI11" s="15" t="s">
        <v>166</v>
      </c>
      <c r="AJ11" s="15" t="s">
        <v>166</v>
      </c>
      <c r="AK11" s="15" t="s">
        <v>166</v>
      </c>
      <c r="AL11" s="15" t="s">
        <v>166</v>
      </c>
      <c r="AM11" s="15" t="s">
        <v>166</v>
      </c>
      <c r="AN11" s="15" t="s">
        <v>166</v>
      </c>
      <c r="AO11" s="15" t="s">
        <v>166</v>
      </c>
      <c r="AP11" s="15" t="s">
        <v>166</v>
      </c>
      <c r="AQ11" s="7" t="s">
        <v>297</v>
      </c>
      <c r="AR11" s="7">
        <f>P11*1000</f>
        <v>140</v>
      </c>
      <c r="AS11" s="7">
        <f>Q11*1000</f>
        <v>33</v>
      </c>
      <c r="AT11" s="7">
        <f>N11*1000</f>
        <v>140</v>
      </c>
      <c r="AU11" s="7">
        <f>O11*1000</f>
        <v>30</v>
      </c>
      <c r="AV11" s="7">
        <f>AR11</f>
        <v>140</v>
      </c>
      <c r="AW11" s="7">
        <f>AV11</f>
        <v>140</v>
      </c>
      <c r="AX11" s="7">
        <f t="shared" ref="AX11" si="11">AW11</f>
        <v>140</v>
      </c>
      <c r="AY11" s="7">
        <f t="shared" ref="AY11" si="12">AX11</f>
        <v>140</v>
      </c>
      <c r="AZ11" s="7">
        <f>+AT11</f>
        <v>140</v>
      </c>
      <c r="BA11" s="7">
        <f>AS11</f>
        <v>33</v>
      </c>
      <c r="BB11" s="7">
        <f>BA11</f>
        <v>33</v>
      </c>
      <c r="BC11" s="7">
        <f t="shared" ref="BC11" si="13">BB11</f>
        <v>33</v>
      </c>
      <c r="BD11" s="7">
        <f t="shared" ref="BD11" si="14">BC11</f>
        <v>33</v>
      </c>
      <c r="BE11" s="7">
        <f>+AU11</f>
        <v>30</v>
      </c>
      <c r="BF11" s="15" t="s">
        <v>167</v>
      </c>
      <c r="BG11" s="15" t="s">
        <v>167</v>
      </c>
      <c r="BH11" s="15" t="s">
        <v>167</v>
      </c>
      <c r="BI11" s="15" t="s">
        <v>167</v>
      </c>
      <c r="BJ11" s="15" t="s">
        <v>167</v>
      </c>
    </row>
    <row r="12" spans="2:62" ht="26.4" customHeight="1" x14ac:dyDescent="0.3">
      <c r="B12" s="3" t="s">
        <v>80</v>
      </c>
      <c r="C12" s="3" t="s">
        <v>103</v>
      </c>
      <c r="D12" s="3" t="s">
        <v>97</v>
      </c>
      <c r="E12" s="6" t="s">
        <v>84</v>
      </c>
      <c r="F12" s="10" t="s">
        <v>114</v>
      </c>
      <c r="G12" s="6" t="s">
        <v>116</v>
      </c>
      <c r="H12" s="6" t="s">
        <v>23</v>
      </c>
      <c r="I12" s="6" t="s">
        <v>23</v>
      </c>
      <c r="J12" s="4">
        <v>0.71199999999999997</v>
      </c>
      <c r="K12" s="4">
        <v>120.18</v>
      </c>
      <c r="L12" s="4">
        <v>0.71199999999999997</v>
      </c>
      <c r="M12" s="4">
        <v>120.18</v>
      </c>
      <c r="N12" s="4">
        <v>0.71199999999999997</v>
      </c>
      <c r="O12" s="4">
        <v>120.2</v>
      </c>
      <c r="P12" s="4">
        <v>1.02</v>
      </c>
      <c r="Q12" s="4">
        <v>223.49</v>
      </c>
      <c r="R12" s="13">
        <f>396.163104/1000</f>
        <v>0.39616310399999999</v>
      </c>
      <c r="S12" s="13">
        <f>35676.37056/1000</f>
        <v>35.676370560000002</v>
      </c>
      <c r="T12" s="3" t="s">
        <v>164</v>
      </c>
      <c r="U12" s="3">
        <v>589</v>
      </c>
      <c r="V12" s="3">
        <v>123956</v>
      </c>
      <c r="W12" s="3">
        <v>600</v>
      </c>
      <c r="X12" s="3">
        <v>606</v>
      </c>
      <c r="Y12" s="3">
        <v>612</v>
      </c>
      <c r="Z12" s="3">
        <v>618</v>
      </c>
      <c r="AA12" s="3">
        <v>624</v>
      </c>
      <c r="AB12" s="3">
        <v>125012</v>
      </c>
      <c r="AC12" s="3">
        <v>126262</v>
      </c>
      <c r="AD12" s="3">
        <v>127525</v>
      </c>
      <c r="AE12" s="3">
        <v>128800</v>
      </c>
      <c r="AF12" s="3">
        <v>130088</v>
      </c>
      <c r="AG12" s="3">
        <v>5</v>
      </c>
      <c r="AH12" s="3">
        <v>1</v>
      </c>
      <c r="AI12" s="3">
        <v>0</v>
      </c>
      <c r="AJ12" s="3">
        <v>5</v>
      </c>
      <c r="AK12" s="3">
        <v>5</v>
      </c>
      <c r="AL12" s="4">
        <f t="shared" ref="AL12:AL14" si="15">SUM(AG12:AK12)</f>
        <v>16</v>
      </c>
      <c r="AM12" s="4">
        <f t="shared" ref="AM12:AM16" si="16">(AL12/25)*100</f>
        <v>64</v>
      </c>
      <c r="AN12" s="15"/>
      <c r="AO12" s="68" t="s">
        <v>236</v>
      </c>
      <c r="AP12" s="15"/>
      <c r="AQ12" s="3" t="s">
        <v>299</v>
      </c>
      <c r="AR12" s="69">
        <f>R12*1000</f>
        <v>396.16310399999998</v>
      </c>
      <c r="AS12" s="69">
        <f>S12*1000</f>
        <v>35676.370560000003</v>
      </c>
      <c r="AT12" s="3">
        <f>AZ12</f>
        <v>416.3714037828114</v>
      </c>
      <c r="AU12" s="3">
        <f>BE12</f>
        <v>37496.224009651763</v>
      </c>
      <c r="AV12" s="69">
        <f>AR12+(AR12*0.01)</f>
        <v>400.12473503999996</v>
      </c>
      <c r="AW12" s="69">
        <f>AV12+(AV12*0.01)</f>
        <v>404.12598239039994</v>
      </c>
      <c r="AX12" s="69">
        <f t="shared" ref="AX12:AZ12" si="17">AW12+(AW12*0.01)</f>
        <v>408.16724221430394</v>
      </c>
      <c r="AY12" s="69">
        <f t="shared" si="17"/>
        <v>412.24891463644695</v>
      </c>
      <c r="AZ12" s="69">
        <f t="shared" si="17"/>
        <v>416.3714037828114</v>
      </c>
      <c r="BA12" s="69">
        <f>AS12+(AS12*0.01)</f>
        <v>36033.134265600005</v>
      </c>
      <c r="BB12" s="69">
        <f>BA12+(BA12*0.01)</f>
        <v>36393.465608256003</v>
      </c>
      <c r="BC12" s="69">
        <f t="shared" ref="BC12:BE12" si="18">BB12+(BB12*0.01)</f>
        <v>36757.400264338561</v>
      </c>
      <c r="BD12" s="69">
        <f t="shared" si="18"/>
        <v>37124.974266981946</v>
      </c>
      <c r="BE12" s="69">
        <f t="shared" si="18"/>
        <v>37496.224009651763</v>
      </c>
      <c r="BF12" s="15" t="s">
        <v>167</v>
      </c>
      <c r="BG12" s="15" t="s">
        <v>167</v>
      </c>
      <c r="BH12" s="15" t="s">
        <v>167</v>
      </c>
      <c r="BI12" s="15" t="s">
        <v>167</v>
      </c>
      <c r="BJ12" s="15" t="s">
        <v>167</v>
      </c>
    </row>
    <row r="13" spans="2:62" ht="27.6" x14ac:dyDescent="0.3">
      <c r="B13" s="12" t="s">
        <v>238</v>
      </c>
      <c r="C13" s="3" t="s">
        <v>103</v>
      </c>
      <c r="D13" s="3" t="s">
        <v>97</v>
      </c>
      <c r="E13" s="6" t="s">
        <v>84</v>
      </c>
      <c r="F13" s="10" t="s">
        <v>115</v>
      </c>
      <c r="G13" s="6" t="s">
        <v>117</v>
      </c>
      <c r="H13" s="6" t="s">
        <v>23</v>
      </c>
      <c r="I13" s="6" t="s">
        <v>23</v>
      </c>
      <c r="J13" s="4">
        <v>1345.5</v>
      </c>
      <c r="K13" s="4">
        <v>609</v>
      </c>
      <c r="L13" s="4">
        <v>1824</v>
      </c>
      <c r="M13" s="4">
        <v>877.8</v>
      </c>
      <c r="N13" s="4">
        <v>1345.5</v>
      </c>
      <c r="O13" s="4">
        <v>609</v>
      </c>
      <c r="P13" s="4">
        <v>1903.7</v>
      </c>
      <c r="Q13" s="4">
        <v>991.8</v>
      </c>
      <c r="R13" s="26" t="s">
        <v>171</v>
      </c>
      <c r="S13" s="26" t="s">
        <v>171</v>
      </c>
      <c r="T13" s="3" t="s">
        <v>160</v>
      </c>
      <c r="U13" s="15" t="s">
        <v>166</v>
      </c>
      <c r="V13" s="15" t="s">
        <v>166</v>
      </c>
      <c r="W13" s="15" t="s">
        <v>166</v>
      </c>
      <c r="X13" s="15" t="s">
        <v>166</v>
      </c>
      <c r="Y13" s="15" t="s">
        <v>166</v>
      </c>
      <c r="Z13" s="15" t="s">
        <v>166</v>
      </c>
      <c r="AA13" s="15" t="s">
        <v>166</v>
      </c>
      <c r="AB13" s="15" t="s">
        <v>166</v>
      </c>
      <c r="AC13" s="15" t="s">
        <v>166</v>
      </c>
      <c r="AD13" s="15" t="s">
        <v>166</v>
      </c>
      <c r="AE13" s="15" t="s">
        <v>166</v>
      </c>
      <c r="AF13" s="15" t="s">
        <v>166</v>
      </c>
      <c r="AG13" s="15" t="s">
        <v>166</v>
      </c>
      <c r="AH13" s="15" t="s">
        <v>166</v>
      </c>
      <c r="AI13" s="15" t="s">
        <v>166</v>
      </c>
      <c r="AJ13" s="15" t="s">
        <v>166</v>
      </c>
      <c r="AK13" s="15" t="s">
        <v>166</v>
      </c>
      <c r="AL13" s="15" t="s">
        <v>166</v>
      </c>
      <c r="AM13" s="15" t="s">
        <v>166</v>
      </c>
      <c r="AN13" s="15" t="s">
        <v>166</v>
      </c>
      <c r="AO13" s="15" t="s">
        <v>166</v>
      </c>
      <c r="AP13" s="15" t="s">
        <v>166</v>
      </c>
      <c r="AQ13" s="3" t="s">
        <v>298</v>
      </c>
      <c r="AR13" s="15" t="s">
        <v>166</v>
      </c>
      <c r="AS13" s="15" t="s">
        <v>166</v>
      </c>
      <c r="AT13" s="15" t="s">
        <v>166</v>
      </c>
      <c r="AU13" s="15" t="s">
        <v>166</v>
      </c>
      <c r="AV13" s="15" t="s">
        <v>166</v>
      </c>
      <c r="AW13" s="15" t="s">
        <v>166</v>
      </c>
      <c r="AX13" s="15" t="s">
        <v>166</v>
      </c>
      <c r="AY13" s="15" t="s">
        <v>166</v>
      </c>
      <c r="AZ13" s="15" t="s">
        <v>166</v>
      </c>
      <c r="BA13" s="15" t="s">
        <v>166</v>
      </c>
      <c r="BB13" s="15" t="s">
        <v>166</v>
      </c>
      <c r="BC13" s="15" t="s">
        <v>166</v>
      </c>
      <c r="BD13" s="15" t="s">
        <v>166</v>
      </c>
      <c r="BE13" s="15" t="s">
        <v>166</v>
      </c>
      <c r="BF13" s="15" t="s">
        <v>166</v>
      </c>
      <c r="BG13" s="15" t="s">
        <v>166</v>
      </c>
      <c r="BH13" s="15" t="s">
        <v>166</v>
      </c>
      <c r="BI13" s="15" t="s">
        <v>166</v>
      </c>
      <c r="BJ13" s="15" t="s">
        <v>166</v>
      </c>
    </row>
    <row r="14" spans="2:62" ht="25.5" x14ac:dyDescent="0.25">
      <c r="B14" s="3" t="s">
        <v>8</v>
      </c>
      <c r="C14" s="3" t="s">
        <v>102</v>
      </c>
      <c r="D14" s="3" t="s">
        <v>98</v>
      </c>
      <c r="E14" s="3" t="s">
        <v>2</v>
      </c>
      <c r="F14" s="3" t="s">
        <v>128</v>
      </c>
      <c r="G14" s="3" t="s">
        <v>129</v>
      </c>
      <c r="H14" s="3" t="s">
        <v>3</v>
      </c>
      <c r="I14" s="3" t="s">
        <v>3</v>
      </c>
      <c r="J14" s="4">
        <v>1524.21</v>
      </c>
      <c r="K14" s="4">
        <v>1025.1299999999999</v>
      </c>
      <c r="L14" s="4" t="s">
        <v>9</v>
      </c>
      <c r="M14" s="4" t="s">
        <v>9</v>
      </c>
      <c r="N14" s="4">
        <v>840.28</v>
      </c>
      <c r="O14" s="4">
        <v>758.79</v>
      </c>
      <c r="P14" s="4">
        <v>1380.36</v>
      </c>
      <c r="Q14" s="4">
        <v>928.5</v>
      </c>
      <c r="R14" s="26" t="s">
        <v>171</v>
      </c>
      <c r="S14" s="26" t="s">
        <v>171</v>
      </c>
      <c r="T14" s="3" t="s">
        <v>164</v>
      </c>
      <c r="U14" s="3">
        <v>1380360</v>
      </c>
      <c r="V14" s="3">
        <v>928500</v>
      </c>
      <c r="W14" s="3">
        <v>1558677.8</v>
      </c>
      <c r="X14" s="3">
        <v>1726225.5</v>
      </c>
      <c r="Y14" s="3">
        <v>1238596.7</v>
      </c>
      <c r="Z14" s="3">
        <v>906538.8</v>
      </c>
      <c r="AA14" s="3">
        <v>271962</v>
      </c>
      <c r="AB14" s="3">
        <v>1670011</v>
      </c>
      <c r="AC14" s="3">
        <v>1849525</v>
      </c>
      <c r="AD14" s="3">
        <v>971291.6</v>
      </c>
      <c r="AE14" s="3">
        <v>327067.90000000002</v>
      </c>
      <c r="AF14" s="3">
        <v>291388</v>
      </c>
      <c r="AG14" s="3">
        <v>5</v>
      </c>
      <c r="AH14" s="3">
        <v>5</v>
      </c>
      <c r="AI14" s="3">
        <v>5</v>
      </c>
      <c r="AJ14" s="3">
        <v>5</v>
      </c>
      <c r="AK14" s="3">
        <v>5</v>
      </c>
      <c r="AL14" s="4">
        <f t="shared" si="15"/>
        <v>25</v>
      </c>
      <c r="AM14" s="4">
        <f t="shared" si="16"/>
        <v>100</v>
      </c>
      <c r="AN14" s="70" t="s">
        <v>236</v>
      </c>
      <c r="AO14" s="3"/>
      <c r="AP14" s="3"/>
      <c r="AQ14" s="3" t="s">
        <v>300</v>
      </c>
      <c r="AR14" s="18">
        <f>U14</f>
        <v>1380360</v>
      </c>
      <c r="AS14" s="18">
        <f>V14</f>
        <v>928500</v>
      </c>
      <c r="AT14" s="71">
        <f>AZ14</f>
        <v>271962</v>
      </c>
      <c r="AU14" s="18">
        <f>BE14</f>
        <v>291388</v>
      </c>
      <c r="AV14" s="18">
        <f>W14</f>
        <v>1558677.8</v>
      </c>
      <c r="AW14" s="18">
        <f t="shared" ref="AW14:BE15" si="19">X14</f>
        <v>1726225.5</v>
      </c>
      <c r="AX14" s="18">
        <f t="shared" si="19"/>
        <v>1238596.7</v>
      </c>
      <c r="AY14" s="18">
        <f t="shared" si="19"/>
        <v>906538.8</v>
      </c>
      <c r="AZ14" s="18">
        <f t="shared" si="19"/>
        <v>271962</v>
      </c>
      <c r="BA14" s="18">
        <f t="shared" si="19"/>
        <v>1670011</v>
      </c>
      <c r="BB14" s="18">
        <f t="shared" si="19"/>
        <v>1849525</v>
      </c>
      <c r="BC14" s="18">
        <f t="shared" si="19"/>
        <v>971291.6</v>
      </c>
      <c r="BD14" s="18">
        <f t="shared" si="19"/>
        <v>327067.90000000002</v>
      </c>
      <c r="BE14" s="18">
        <f t="shared" si="19"/>
        <v>291388</v>
      </c>
      <c r="BF14" s="15">
        <v>0</v>
      </c>
      <c r="BG14" s="15">
        <v>0</v>
      </c>
      <c r="BH14" s="15">
        <v>0</v>
      </c>
      <c r="BI14" s="15">
        <v>0</v>
      </c>
      <c r="BJ14" s="15">
        <v>0</v>
      </c>
    </row>
    <row r="15" spans="2:62" s="9" customFormat="1" ht="57.75" customHeight="1" x14ac:dyDescent="0.25">
      <c r="B15" s="7" t="s">
        <v>24</v>
      </c>
      <c r="C15" s="7" t="s">
        <v>101</v>
      </c>
      <c r="D15" s="7" t="s">
        <v>98</v>
      </c>
      <c r="E15" s="7" t="s">
        <v>22</v>
      </c>
      <c r="F15" s="7" t="s">
        <v>123</v>
      </c>
      <c r="G15" s="7" t="s">
        <v>124</v>
      </c>
      <c r="H15" s="7" t="s">
        <v>23</v>
      </c>
      <c r="I15" s="7" t="s">
        <v>23</v>
      </c>
      <c r="J15" s="8" t="s">
        <v>25</v>
      </c>
      <c r="K15" s="8">
        <v>5022</v>
      </c>
      <c r="L15" s="8" t="s">
        <v>25</v>
      </c>
      <c r="M15" s="8">
        <v>5022</v>
      </c>
      <c r="N15" s="8" t="s">
        <v>25</v>
      </c>
      <c r="O15" s="8">
        <v>5022</v>
      </c>
      <c r="P15" s="8">
        <v>27.8</v>
      </c>
      <c r="Q15" s="8">
        <v>2.23</v>
      </c>
      <c r="R15" s="8">
        <f>(1825*12)/1000</f>
        <v>21.9</v>
      </c>
      <c r="S15" s="8">
        <f>(11.25*12)/1000</f>
        <v>0.13500000000000001</v>
      </c>
      <c r="T15" s="7" t="s">
        <v>164</v>
      </c>
      <c r="U15" s="7">
        <v>27800</v>
      </c>
      <c r="V15" s="7">
        <v>2230</v>
      </c>
      <c r="W15" s="7">
        <v>22394.9</v>
      </c>
      <c r="X15" s="7">
        <v>25940.7</v>
      </c>
      <c r="Y15" s="7">
        <v>25940.7</v>
      </c>
      <c r="Z15" s="7">
        <v>15023.2</v>
      </c>
      <c r="AA15" s="7">
        <v>16516.2</v>
      </c>
      <c r="AB15" s="7">
        <v>2230</v>
      </c>
      <c r="AC15" s="7">
        <v>3732.5</v>
      </c>
      <c r="AD15" s="7">
        <v>4323.5</v>
      </c>
      <c r="AE15" s="7">
        <v>5007.7</v>
      </c>
      <c r="AF15" s="7">
        <v>5505.4</v>
      </c>
      <c r="AG15" s="3">
        <v>5</v>
      </c>
      <c r="AH15" s="3">
        <v>5</v>
      </c>
      <c r="AI15" s="3">
        <v>5</v>
      </c>
      <c r="AJ15" s="3">
        <v>5</v>
      </c>
      <c r="AK15" s="3">
        <v>5</v>
      </c>
      <c r="AL15" s="4">
        <f t="shared" ref="AL15" si="20">SUM(AG15:AK15)</f>
        <v>25</v>
      </c>
      <c r="AM15" s="4">
        <f t="shared" ref="AM15" si="21">(AL15/25)*100</f>
        <v>100</v>
      </c>
      <c r="AN15" s="70" t="s">
        <v>236</v>
      </c>
      <c r="AO15" s="3"/>
      <c r="AP15" s="3"/>
      <c r="AQ15" s="3" t="s">
        <v>332</v>
      </c>
      <c r="AR15" s="18">
        <f t="shared" ref="AR15" si="22">U15</f>
        <v>27800</v>
      </c>
      <c r="AS15" s="18">
        <f t="shared" ref="AS15" si="23">V15</f>
        <v>2230</v>
      </c>
      <c r="AT15" s="78">
        <f>AZ15</f>
        <v>16516.2</v>
      </c>
      <c r="AU15" s="18">
        <f>BE15</f>
        <v>5505.4</v>
      </c>
      <c r="AV15" s="18">
        <f>W15</f>
        <v>22394.9</v>
      </c>
      <c r="AW15" s="18">
        <f t="shared" si="19"/>
        <v>25940.7</v>
      </c>
      <c r="AX15" s="18">
        <f t="shared" si="19"/>
        <v>25940.7</v>
      </c>
      <c r="AY15" s="18">
        <f t="shared" si="19"/>
        <v>15023.2</v>
      </c>
      <c r="AZ15" s="18">
        <f t="shared" si="19"/>
        <v>16516.2</v>
      </c>
      <c r="BA15" s="18">
        <f t="shared" si="19"/>
        <v>2230</v>
      </c>
      <c r="BB15" s="18">
        <f t="shared" si="19"/>
        <v>3732.5</v>
      </c>
      <c r="BC15" s="18">
        <f t="shared" si="19"/>
        <v>4323.5</v>
      </c>
      <c r="BD15" s="18">
        <f t="shared" si="19"/>
        <v>5007.7</v>
      </c>
      <c r="BE15" s="18">
        <f t="shared" si="19"/>
        <v>5505.4</v>
      </c>
      <c r="BF15" s="15" t="s">
        <v>166</v>
      </c>
      <c r="BG15" s="15" t="s">
        <v>166</v>
      </c>
      <c r="BH15" s="15" t="s">
        <v>166</v>
      </c>
      <c r="BI15" s="15" t="s">
        <v>166</v>
      </c>
      <c r="BJ15" s="15" t="s">
        <v>166</v>
      </c>
    </row>
    <row r="16" spans="2:62" ht="82.5" customHeight="1" x14ac:dyDescent="0.25">
      <c r="B16" s="7" t="s">
        <v>26</v>
      </c>
      <c r="C16" s="3" t="s">
        <v>101</v>
      </c>
      <c r="D16" s="3" t="s">
        <v>98</v>
      </c>
      <c r="E16" s="3" t="s">
        <v>22</v>
      </c>
      <c r="F16" s="3" t="s">
        <v>121</v>
      </c>
      <c r="G16" s="3" t="s">
        <v>122</v>
      </c>
      <c r="H16" s="3" t="s">
        <v>23</v>
      </c>
      <c r="I16" s="3" t="s">
        <v>23</v>
      </c>
      <c r="J16" s="4" t="s">
        <v>27</v>
      </c>
      <c r="K16" s="4" t="s">
        <v>28</v>
      </c>
      <c r="L16" s="4" t="s">
        <v>27</v>
      </c>
      <c r="M16" s="4" t="s">
        <v>28</v>
      </c>
      <c r="N16" s="4" t="s">
        <v>29</v>
      </c>
      <c r="O16" s="4" t="s">
        <v>30</v>
      </c>
      <c r="P16" s="4">
        <v>15.17</v>
      </c>
      <c r="Q16" s="4">
        <v>3.58</v>
      </c>
      <c r="R16" s="4">
        <f>(940*12)/1000</f>
        <v>11.28</v>
      </c>
      <c r="S16" s="4">
        <f>(242*12)/1000</f>
        <v>2.9039999999999999</v>
      </c>
      <c r="T16" s="3" t="s">
        <v>164</v>
      </c>
      <c r="U16" s="20">
        <f>15.17*1000</f>
        <v>15170</v>
      </c>
      <c r="V16" s="20">
        <f>3.58*1000</f>
        <v>3580</v>
      </c>
      <c r="W16" s="20">
        <f>20.961*1000</f>
        <v>20961</v>
      </c>
      <c r="X16" s="20">
        <f>31.516*1000</f>
        <v>31516</v>
      </c>
      <c r="Y16" s="20">
        <f>30.886*1000</f>
        <v>30886</v>
      </c>
      <c r="Z16" s="20">
        <f>37.063*1000</f>
        <v>37063</v>
      </c>
      <c r="AA16" s="20">
        <f>37.063*1000</f>
        <v>37063</v>
      </c>
      <c r="AB16" s="20">
        <f>4.947*1000</f>
        <v>4947</v>
      </c>
      <c r="AC16" s="20">
        <f>7.438*1000</f>
        <v>7438</v>
      </c>
      <c r="AD16" s="20">
        <f>7.289*1000</f>
        <v>7289</v>
      </c>
      <c r="AE16" s="20">
        <f>8.747*1000</f>
        <v>8747</v>
      </c>
      <c r="AF16" s="20">
        <f>8.747*1000</f>
        <v>8747</v>
      </c>
      <c r="AG16" s="3">
        <v>5</v>
      </c>
      <c r="AH16" s="3">
        <v>5</v>
      </c>
      <c r="AI16" s="3">
        <v>5</v>
      </c>
      <c r="AJ16" s="3">
        <v>5</v>
      </c>
      <c r="AK16" s="3">
        <v>5</v>
      </c>
      <c r="AL16" s="4">
        <f t="shared" ref="AL16" si="24">SUM(AG16:AK16)</f>
        <v>25</v>
      </c>
      <c r="AM16" s="4">
        <f t="shared" si="16"/>
        <v>100</v>
      </c>
      <c r="AN16" s="70" t="s">
        <v>236</v>
      </c>
      <c r="AO16" s="3"/>
      <c r="AP16" s="3"/>
      <c r="AQ16" s="3" t="s">
        <v>333</v>
      </c>
      <c r="AR16" s="18">
        <f t="shared" ref="AR16" si="25">U16</f>
        <v>15170</v>
      </c>
      <c r="AS16" s="18">
        <f t="shared" ref="AS16" si="26">V16</f>
        <v>3580</v>
      </c>
      <c r="AT16" s="78">
        <f>AZ16</f>
        <v>37063</v>
      </c>
      <c r="AU16" s="18">
        <f>BE16</f>
        <v>8747</v>
      </c>
      <c r="AV16" s="18">
        <f>W16</f>
        <v>20961</v>
      </c>
      <c r="AW16" s="18">
        <f t="shared" ref="AW16" si="27">X16</f>
        <v>31516</v>
      </c>
      <c r="AX16" s="18">
        <f t="shared" ref="AX16" si="28">Y16</f>
        <v>30886</v>
      </c>
      <c r="AY16" s="18">
        <f t="shared" ref="AY16" si="29">Z16</f>
        <v>37063</v>
      </c>
      <c r="AZ16" s="18">
        <f t="shared" ref="AZ16" si="30">AA16</f>
        <v>37063</v>
      </c>
      <c r="BA16" s="18">
        <f t="shared" ref="BA16" si="31">AB16</f>
        <v>4947</v>
      </c>
      <c r="BB16" s="18">
        <f t="shared" ref="BB16" si="32">AC16</f>
        <v>7438</v>
      </c>
      <c r="BC16" s="18">
        <f t="shared" ref="BC16" si="33">AD16</f>
        <v>7289</v>
      </c>
      <c r="BD16" s="18">
        <f t="shared" ref="BD16" si="34">AE16</f>
        <v>8747</v>
      </c>
      <c r="BE16" s="18">
        <f t="shared" ref="BE16" si="35">AF16</f>
        <v>8747</v>
      </c>
      <c r="BF16" s="15" t="s">
        <v>166</v>
      </c>
      <c r="BG16" s="15" t="s">
        <v>166</v>
      </c>
      <c r="BH16" s="15" t="s">
        <v>166</v>
      </c>
      <c r="BI16" s="15" t="s">
        <v>166</v>
      </c>
      <c r="BJ16" s="15" t="s">
        <v>166</v>
      </c>
    </row>
    <row r="17" spans="2:62" ht="63.75" x14ac:dyDescent="0.25">
      <c r="B17" s="3" t="s">
        <v>31</v>
      </c>
      <c r="C17" s="3" t="s">
        <v>101</v>
      </c>
      <c r="D17" s="3" t="s">
        <v>98</v>
      </c>
      <c r="E17" s="3" t="s">
        <v>22</v>
      </c>
      <c r="F17" s="3" t="s">
        <v>121</v>
      </c>
      <c r="G17" s="3" t="s">
        <v>122</v>
      </c>
      <c r="H17" s="3" t="s">
        <v>23</v>
      </c>
      <c r="I17" s="3" t="s">
        <v>23</v>
      </c>
      <c r="J17" s="4" t="s">
        <v>13</v>
      </c>
      <c r="K17" s="4" t="s">
        <v>32</v>
      </c>
      <c r="L17" s="4" t="s">
        <v>9</v>
      </c>
      <c r="M17" s="4" t="s">
        <v>9</v>
      </c>
      <c r="N17" s="4">
        <v>0.2</v>
      </c>
      <c r="O17" s="4">
        <v>0.11</v>
      </c>
      <c r="P17" s="4">
        <v>0.2</v>
      </c>
      <c r="Q17" s="4">
        <v>0.11</v>
      </c>
      <c r="R17" s="26" t="s">
        <v>171</v>
      </c>
      <c r="S17" s="26" t="s">
        <v>171</v>
      </c>
      <c r="T17" s="3" t="s">
        <v>160</v>
      </c>
      <c r="U17" s="15" t="s">
        <v>166</v>
      </c>
      <c r="V17" s="15" t="s">
        <v>166</v>
      </c>
      <c r="W17" s="15" t="s">
        <v>166</v>
      </c>
      <c r="X17" s="15" t="s">
        <v>166</v>
      </c>
      <c r="Y17" s="15" t="s">
        <v>166</v>
      </c>
      <c r="Z17" s="15" t="s">
        <v>166</v>
      </c>
      <c r="AA17" s="15" t="s">
        <v>166</v>
      </c>
      <c r="AB17" s="15" t="s">
        <v>166</v>
      </c>
      <c r="AC17" s="15" t="s">
        <v>166</v>
      </c>
      <c r="AD17" s="15" t="s">
        <v>166</v>
      </c>
      <c r="AE17" s="15" t="s">
        <v>166</v>
      </c>
      <c r="AF17" s="15" t="s">
        <v>166</v>
      </c>
      <c r="AG17" s="15" t="s">
        <v>166</v>
      </c>
      <c r="AH17" s="15" t="s">
        <v>166</v>
      </c>
      <c r="AI17" s="15" t="s">
        <v>166</v>
      </c>
      <c r="AJ17" s="15" t="s">
        <v>166</v>
      </c>
      <c r="AK17" s="15" t="s">
        <v>166</v>
      </c>
      <c r="AL17" s="15" t="s">
        <v>166</v>
      </c>
      <c r="AM17" s="15" t="s">
        <v>166</v>
      </c>
      <c r="AN17" s="15" t="s">
        <v>166</v>
      </c>
      <c r="AO17" s="15" t="s">
        <v>166</v>
      </c>
      <c r="AP17" s="15" t="s">
        <v>166</v>
      </c>
      <c r="AQ17" s="7" t="s">
        <v>314</v>
      </c>
      <c r="AR17" s="3">
        <f>P17*1000</f>
        <v>200</v>
      </c>
      <c r="AS17" s="3">
        <f>Q17*1000</f>
        <v>110</v>
      </c>
      <c r="AT17" s="3">
        <f>N17*1000</f>
        <v>200</v>
      </c>
      <c r="AU17" s="3">
        <f>O17*1000</f>
        <v>110</v>
      </c>
      <c r="AV17" s="3">
        <f>AR17</f>
        <v>200</v>
      </c>
      <c r="AW17" s="3">
        <f>AV17</f>
        <v>200</v>
      </c>
      <c r="AX17" s="3">
        <f t="shared" ref="AX17:AZ21" si="36">AW17</f>
        <v>200</v>
      </c>
      <c r="AY17" s="3">
        <f t="shared" si="36"/>
        <v>200</v>
      </c>
      <c r="AZ17" s="3">
        <f t="shared" si="36"/>
        <v>200</v>
      </c>
      <c r="BA17" s="3">
        <f>AS17</f>
        <v>110</v>
      </c>
      <c r="BB17" s="3">
        <f>BA17</f>
        <v>110</v>
      </c>
      <c r="BC17" s="3">
        <f t="shared" ref="BC17:BE21" si="37">BB17</f>
        <v>110</v>
      </c>
      <c r="BD17" s="3">
        <f t="shared" si="37"/>
        <v>110</v>
      </c>
      <c r="BE17" s="3">
        <f t="shared" si="37"/>
        <v>110</v>
      </c>
      <c r="BF17" s="15" t="s">
        <v>166</v>
      </c>
      <c r="BG17" s="15" t="s">
        <v>166</v>
      </c>
      <c r="BH17" s="15" t="s">
        <v>166</v>
      </c>
      <c r="BI17" s="15" t="s">
        <v>166</v>
      </c>
      <c r="BJ17" s="15" t="s">
        <v>166</v>
      </c>
    </row>
    <row r="18" spans="2:62" ht="51" x14ac:dyDescent="0.25">
      <c r="B18" s="3" t="s">
        <v>33</v>
      </c>
      <c r="C18" s="3" t="s">
        <v>101</v>
      </c>
      <c r="D18" s="3" t="s">
        <v>98</v>
      </c>
      <c r="E18" s="3" t="s">
        <v>22</v>
      </c>
      <c r="F18" s="3" t="s">
        <v>125</v>
      </c>
      <c r="G18" s="3" t="s">
        <v>126</v>
      </c>
      <c r="H18" s="3" t="s">
        <v>23</v>
      </c>
      <c r="I18" s="3" t="s">
        <v>23</v>
      </c>
      <c r="J18" s="4" t="s">
        <v>34</v>
      </c>
      <c r="K18" s="4" t="s">
        <v>17</v>
      </c>
      <c r="L18" s="4" t="s">
        <v>9</v>
      </c>
      <c r="M18" s="4" t="s">
        <v>9</v>
      </c>
      <c r="N18" s="4">
        <v>0.28000000000000003</v>
      </c>
      <c r="O18" s="4">
        <v>0.39</v>
      </c>
      <c r="P18" s="4">
        <v>0.28000000000000003</v>
      </c>
      <c r="Q18" s="4">
        <v>0.39</v>
      </c>
      <c r="R18" s="26" t="s">
        <v>171</v>
      </c>
      <c r="S18" s="26" t="s">
        <v>171</v>
      </c>
      <c r="T18" s="3" t="s">
        <v>164</v>
      </c>
      <c r="U18" s="15" t="s">
        <v>166</v>
      </c>
      <c r="V18" s="15" t="s">
        <v>166</v>
      </c>
      <c r="W18" s="15" t="s">
        <v>166</v>
      </c>
      <c r="X18" s="15" t="s">
        <v>166</v>
      </c>
      <c r="Y18" s="15" t="s">
        <v>166</v>
      </c>
      <c r="Z18" s="15" t="s">
        <v>166</v>
      </c>
      <c r="AA18" s="15" t="s">
        <v>166</v>
      </c>
      <c r="AB18" s="15" t="s">
        <v>166</v>
      </c>
      <c r="AC18" s="15" t="s">
        <v>166</v>
      </c>
      <c r="AD18" s="15" t="s">
        <v>166</v>
      </c>
      <c r="AE18" s="15" t="s">
        <v>166</v>
      </c>
      <c r="AF18" s="15" t="s">
        <v>166</v>
      </c>
      <c r="AG18" s="15" t="s">
        <v>166</v>
      </c>
      <c r="AH18" s="15" t="s">
        <v>166</v>
      </c>
      <c r="AI18" s="15" t="s">
        <v>166</v>
      </c>
      <c r="AJ18" s="15" t="s">
        <v>166</v>
      </c>
      <c r="AK18" s="15" t="s">
        <v>166</v>
      </c>
      <c r="AL18" s="15" t="s">
        <v>166</v>
      </c>
      <c r="AM18" s="15" t="s">
        <v>166</v>
      </c>
      <c r="AN18" s="15" t="s">
        <v>166</v>
      </c>
      <c r="AO18" s="15" t="s">
        <v>166</v>
      </c>
      <c r="AP18" s="15" t="s">
        <v>166</v>
      </c>
      <c r="AQ18" s="3" t="s">
        <v>313</v>
      </c>
      <c r="AR18" s="3">
        <f>P18*1000</f>
        <v>280</v>
      </c>
      <c r="AS18" s="3">
        <f>Q18*1000</f>
        <v>390</v>
      </c>
      <c r="AT18" s="3">
        <f>N18*1000</f>
        <v>280</v>
      </c>
      <c r="AU18" s="3">
        <f>O18*1000</f>
        <v>390</v>
      </c>
      <c r="AV18" s="3">
        <f>AR18</f>
        <v>280</v>
      </c>
      <c r="AW18" s="3">
        <f>AV18</f>
        <v>280</v>
      </c>
      <c r="AX18" s="3">
        <f t="shared" si="36"/>
        <v>280</v>
      </c>
      <c r="AY18" s="3">
        <f t="shared" si="36"/>
        <v>280</v>
      </c>
      <c r="AZ18" s="3">
        <f t="shared" si="36"/>
        <v>280</v>
      </c>
      <c r="BA18" s="3">
        <f>AS18</f>
        <v>390</v>
      </c>
      <c r="BB18" s="3">
        <f>BA18</f>
        <v>390</v>
      </c>
      <c r="BC18" s="3">
        <f t="shared" si="37"/>
        <v>390</v>
      </c>
      <c r="BD18" s="3">
        <f t="shared" si="37"/>
        <v>390</v>
      </c>
      <c r="BE18" s="3">
        <f t="shared" si="37"/>
        <v>390</v>
      </c>
      <c r="BF18" s="15" t="s">
        <v>166</v>
      </c>
      <c r="BG18" s="15" t="s">
        <v>166</v>
      </c>
      <c r="BH18" s="15" t="s">
        <v>166</v>
      </c>
      <c r="BI18" s="15" t="s">
        <v>166</v>
      </c>
      <c r="BJ18" s="15" t="s">
        <v>166</v>
      </c>
    </row>
    <row r="19" spans="2:62" ht="88.5" customHeight="1" x14ac:dyDescent="0.25">
      <c r="B19" s="7" t="s">
        <v>35</v>
      </c>
      <c r="C19" s="3" t="s">
        <v>101</v>
      </c>
      <c r="D19" s="3" t="s">
        <v>98</v>
      </c>
      <c r="E19" s="3" t="s">
        <v>22</v>
      </c>
      <c r="F19" s="3" t="s">
        <v>121</v>
      </c>
      <c r="G19" s="3" t="s">
        <v>122</v>
      </c>
      <c r="H19" s="3" t="s">
        <v>23</v>
      </c>
      <c r="I19" s="3" t="s">
        <v>23</v>
      </c>
      <c r="J19" s="4" t="s">
        <v>36</v>
      </c>
      <c r="K19" s="4" t="s">
        <v>37</v>
      </c>
      <c r="L19" s="4" t="s">
        <v>36</v>
      </c>
      <c r="M19" s="4" t="s">
        <v>37</v>
      </c>
      <c r="N19" s="4" t="s">
        <v>36</v>
      </c>
      <c r="O19" s="4">
        <v>1.9</v>
      </c>
      <c r="P19" s="4">
        <v>8.1999999999999993</v>
      </c>
      <c r="Q19" s="4">
        <v>1.7</v>
      </c>
      <c r="R19" s="84">
        <f>+((6.43*365)+(33.8*365))/1000</f>
        <v>14.683949999999998</v>
      </c>
      <c r="S19" s="84">
        <f>+((5.79*365)+(1.9*365))/1000</f>
        <v>2.8068499999999998</v>
      </c>
      <c r="T19" s="3" t="s">
        <v>164</v>
      </c>
      <c r="U19" s="3">
        <f>14934.87+4650.05</f>
        <v>19584.920000000002</v>
      </c>
      <c r="V19" s="3">
        <f>1686.5+4278.04</f>
        <v>5964.54</v>
      </c>
      <c r="W19" s="3">
        <f>14934.87+4650.05</f>
        <v>19584.920000000002</v>
      </c>
      <c r="X19" s="3">
        <f>16428.87+5115.05</f>
        <v>21543.919999999998</v>
      </c>
      <c r="Y19" s="3">
        <f>16428.87+5115.05</f>
        <v>21543.919999999998</v>
      </c>
      <c r="Z19" s="3">
        <f>18071.2+5626.56</f>
        <v>23697.760000000002</v>
      </c>
      <c r="AA19" s="3">
        <f>18071.2+5626.56</f>
        <v>23697.760000000002</v>
      </c>
      <c r="AB19" s="3">
        <f>1686.5+4278.04</f>
        <v>5964.54</v>
      </c>
      <c r="AC19" s="3">
        <f>1855.15+4705.85</f>
        <v>6561</v>
      </c>
      <c r="AD19" s="3">
        <f>1855.15+4705.85</f>
        <v>6561</v>
      </c>
      <c r="AE19" s="3">
        <f>2040.66+5176.43</f>
        <v>7217.09</v>
      </c>
      <c r="AF19" s="3">
        <f>2040.66+5176.43</f>
        <v>7217.09</v>
      </c>
      <c r="AG19" s="3">
        <v>5</v>
      </c>
      <c r="AH19" s="3">
        <v>5</v>
      </c>
      <c r="AI19" s="3">
        <v>5</v>
      </c>
      <c r="AJ19" s="3">
        <v>5</v>
      </c>
      <c r="AK19" s="3">
        <v>5</v>
      </c>
      <c r="AL19" s="4">
        <f t="shared" ref="AL19" si="38">SUM(AG19:AK19)</f>
        <v>25</v>
      </c>
      <c r="AM19" s="4">
        <f t="shared" ref="AM19" si="39">(AL19/25)*100</f>
        <v>100</v>
      </c>
      <c r="AN19" s="70" t="s">
        <v>236</v>
      </c>
      <c r="AO19" s="3"/>
      <c r="AP19" s="3"/>
      <c r="AQ19" s="3" t="s">
        <v>336</v>
      </c>
      <c r="AR19" s="18">
        <f>U19</f>
        <v>19584.920000000002</v>
      </c>
      <c r="AS19" s="18">
        <f>V19</f>
        <v>5964.54</v>
      </c>
      <c r="AT19" s="71">
        <f>AZ19</f>
        <v>23697.760000000002</v>
      </c>
      <c r="AU19" s="18">
        <f>BE19</f>
        <v>7217.09</v>
      </c>
      <c r="AV19" s="18">
        <f>W19</f>
        <v>19584.920000000002</v>
      </c>
      <c r="AW19" s="18">
        <f t="shared" ref="AW19" si="40">X19</f>
        <v>21543.919999999998</v>
      </c>
      <c r="AX19" s="18">
        <f t="shared" ref="AX19" si="41">Y19</f>
        <v>21543.919999999998</v>
      </c>
      <c r="AY19" s="18">
        <f t="shared" ref="AY19" si="42">Z19</f>
        <v>23697.760000000002</v>
      </c>
      <c r="AZ19" s="18">
        <f t="shared" ref="AZ19" si="43">AA19</f>
        <v>23697.760000000002</v>
      </c>
      <c r="BA19" s="18">
        <f t="shared" ref="BA19" si="44">AB19</f>
        <v>5964.54</v>
      </c>
      <c r="BB19" s="18">
        <f t="shared" ref="BB19" si="45">AC19</f>
        <v>6561</v>
      </c>
      <c r="BC19" s="18">
        <f t="shared" ref="BC19" si="46">AD19</f>
        <v>6561</v>
      </c>
      <c r="BD19" s="18">
        <f t="shared" ref="BD19" si="47">AE19</f>
        <v>7217.09</v>
      </c>
      <c r="BE19" s="18">
        <f t="shared" ref="BE19" si="48">AF19</f>
        <v>7217.09</v>
      </c>
      <c r="BF19" s="15" t="s">
        <v>166</v>
      </c>
      <c r="BG19" s="15" t="s">
        <v>166</v>
      </c>
      <c r="BH19" s="15" t="s">
        <v>166</v>
      </c>
      <c r="BI19" s="15" t="s">
        <v>166</v>
      </c>
      <c r="BJ19" s="15" t="s">
        <v>166</v>
      </c>
    </row>
    <row r="20" spans="2:62" ht="63.75" x14ac:dyDescent="0.25">
      <c r="B20" s="3" t="s">
        <v>38</v>
      </c>
      <c r="C20" s="3" t="s">
        <v>101</v>
      </c>
      <c r="D20" s="3" t="s">
        <v>98</v>
      </c>
      <c r="E20" s="3" t="s">
        <v>22</v>
      </c>
      <c r="F20" s="3" t="s">
        <v>121</v>
      </c>
      <c r="G20" s="3" t="s">
        <v>122</v>
      </c>
      <c r="H20" s="3" t="s">
        <v>23</v>
      </c>
      <c r="I20" s="3" t="s">
        <v>23</v>
      </c>
      <c r="J20" s="4" t="s">
        <v>16</v>
      </c>
      <c r="K20" s="4" t="s">
        <v>15</v>
      </c>
      <c r="L20" s="4" t="s">
        <v>9</v>
      </c>
      <c r="M20" s="4" t="s">
        <v>9</v>
      </c>
      <c r="N20" s="4">
        <v>1.95</v>
      </c>
      <c r="O20" s="4">
        <v>0.34</v>
      </c>
      <c r="P20" s="4">
        <v>1.95</v>
      </c>
      <c r="Q20" s="4">
        <v>0.34</v>
      </c>
      <c r="R20" s="26" t="s">
        <v>171</v>
      </c>
      <c r="S20" s="26" t="s">
        <v>171</v>
      </c>
      <c r="T20" s="3" t="s">
        <v>160</v>
      </c>
      <c r="U20" s="15" t="s">
        <v>166</v>
      </c>
      <c r="V20" s="15" t="s">
        <v>166</v>
      </c>
      <c r="W20" s="15" t="s">
        <v>166</v>
      </c>
      <c r="X20" s="15" t="s">
        <v>166</v>
      </c>
      <c r="Y20" s="15" t="s">
        <v>166</v>
      </c>
      <c r="Z20" s="15" t="s">
        <v>166</v>
      </c>
      <c r="AA20" s="15" t="s">
        <v>166</v>
      </c>
      <c r="AB20" s="15" t="s">
        <v>166</v>
      </c>
      <c r="AC20" s="15" t="s">
        <v>166</v>
      </c>
      <c r="AD20" s="15" t="s">
        <v>166</v>
      </c>
      <c r="AE20" s="15" t="s">
        <v>166</v>
      </c>
      <c r="AF20" s="15" t="s">
        <v>166</v>
      </c>
      <c r="AG20" s="15" t="s">
        <v>166</v>
      </c>
      <c r="AH20" s="15" t="s">
        <v>166</v>
      </c>
      <c r="AI20" s="15" t="s">
        <v>166</v>
      </c>
      <c r="AJ20" s="15" t="s">
        <v>166</v>
      </c>
      <c r="AK20" s="15" t="s">
        <v>166</v>
      </c>
      <c r="AL20" s="15" t="s">
        <v>166</v>
      </c>
      <c r="AM20" s="15" t="s">
        <v>166</v>
      </c>
      <c r="AN20" s="15" t="s">
        <v>166</v>
      </c>
      <c r="AO20" s="15" t="s">
        <v>166</v>
      </c>
      <c r="AP20" s="15" t="s">
        <v>166</v>
      </c>
      <c r="AQ20" s="7" t="s">
        <v>317</v>
      </c>
      <c r="AR20" s="3">
        <f>P20*1000</f>
        <v>1950</v>
      </c>
      <c r="AS20" s="3">
        <f>Q20*1000</f>
        <v>340</v>
      </c>
      <c r="AT20" s="3">
        <f>N20*1000</f>
        <v>1950</v>
      </c>
      <c r="AU20" s="3">
        <f>O20*1000</f>
        <v>340</v>
      </c>
      <c r="AV20" s="3">
        <f>AR20</f>
        <v>1950</v>
      </c>
      <c r="AW20" s="3">
        <f>AV20</f>
        <v>1950</v>
      </c>
      <c r="AX20" s="3">
        <f t="shared" si="36"/>
        <v>1950</v>
      </c>
      <c r="AY20" s="3">
        <f t="shared" si="36"/>
        <v>1950</v>
      </c>
      <c r="AZ20" s="3">
        <f t="shared" si="36"/>
        <v>1950</v>
      </c>
      <c r="BA20" s="3">
        <f>AS20</f>
        <v>340</v>
      </c>
      <c r="BB20" s="3">
        <f>BA20</f>
        <v>340</v>
      </c>
      <c r="BC20" s="3">
        <f t="shared" si="37"/>
        <v>340</v>
      </c>
      <c r="BD20" s="3">
        <f t="shared" si="37"/>
        <v>340</v>
      </c>
      <c r="BE20" s="3">
        <f t="shared" si="37"/>
        <v>340</v>
      </c>
      <c r="BF20" s="15" t="s">
        <v>166</v>
      </c>
      <c r="BG20" s="15" t="s">
        <v>166</v>
      </c>
      <c r="BH20" s="15" t="s">
        <v>166</v>
      </c>
      <c r="BI20" s="15" t="s">
        <v>166</v>
      </c>
      <c r="BJ20" s="15" t="s">
        <v>166</v>
      </c>
    </row>
    <row r="21" spans="2:62" ht="63.75" x14ac:dyDescent="0.25">
      <c r="B21" s="3" t="s">
        <v>39</v>
      </c>
      <c r="C21" s="3" t="s">
        <v>101</v>
      </c>
      <c r="D21" s="3" t="s">
        <v>98</v>
      </c>
      <c r="E21" s="3" t="s">
        <v>22</v>
      </c>
      <c r="F21" s="3" t="s">
        <v>123</v>
      </c>
      <c r="G21" s="3" t="s">
        <v>124</v>
      </c>
      <c r="H21" s="3" t="s">
        <v>23</v>
      </c>
      <c r="I21" s="3" t="s">
        <v>23</v>
      </c>
      <c r="J21" s="4" t="s">
        <v>40</v>
      </c>
      <c r="K21" s="4" t="s">
        <v>12</v>
      </c>
      <c r="L21" s="4" t="s">
        <v>9</v>
      </c>
      <c r="M21" s="4" t="s">
        <v>9</v>
      </c>
      <c r="N21" s="4">
        <v>0.11</v>
      </c>
      <c r="O21" s="4">
        <v>0.89</v>
      </c>
      <c r="P21" s="4">
        <v>0.11</v>
      </c>
      <c r="Q21" s="4">
        <v>0.89</v>
      </c>
      <c r="R21" s="26" t="s">
        <v>171</v>
      </c>
      <c r="S21" s="26" t="s">
        <v>171</v>
      </c>
      <c r="T21" s="3" t="s">
        <v>160</v>
      </c>
      <c r="U21" s="15" t="s">
        <v>166</v>
      </c>
      <c r="V21" s="15" t="s">
        <v>166</v>
      </c>
      <c r="W21" s="15" t="s">
        <v>166</v>
      </c>
      <c r="X21" s="15" t="s">
        <v>166</v>
      </c>
      <c r="Y21" s="15" t="s">
        <v>166</v>
      </c>
      <c r="Z21" s="15" t="s">
        <v>166</v>
      </c>
      <c r="AA21" s="15" t="s">
        <v>166</v>
      </c>
      <c r="AB21" s="15" t="s">
        <v>166</v>
      </c>
      <c r="AC21" s="15" t="s">
        <v>166</v>
      </c>
      <c r="AD21" s="15" t="s">
        <v>166</v>
      </c>
      <c r="AE21" s="15" t="s">
        <v>166</v>
      </c>
      <c r="AF21" s="15" t="s">
        <v>166</v>
      </c>
      <c r="AG21" s="15" t="s">
        <v>166</v>
      </c>
      <c r="AH21" s="15" t="s">
        <v>166</v>
      </c>
      <c r="AI21" s="15" t="s">
        <v>166</v>
      </c>
      <c r="AJ21" s="15" t="s">
        <v>166</v>
      </c>
      <c r="AK21" s="15" t="s">
        <v>166</v>
      </c>
      <c r="AL21" s="15" t="s">
        <v>166</v>
      </c>
      <c r="AM21" s="15" t="s">
        <v>166</v>
      </c>
      <c r="AN21" s="15" t="s">
        <v>166</v>
      </c>
      <c r="AO21" s="15" t="s">
        <v>166</v>
      </c>
      <c r="AP21" s="15" t="s">
        <v>166</v>
      </c>
      <c r="AQ21" s="7" t="s">
        <v>315</v>
      </c>
      <c r="AR21" s="3">
        <f>P21*1000</f>
        <v>110</v>
      </c>
      <c r="AS21" s="3">
        <f>Q21*1000</f>
        <v>890</v>
      </c>
      <c r="AT21" s="3">
        <f>N21*1000</f>
        <v>110</v>
      </c>
      <c r="AU21" s="3">
        <f>O21*1000</f>
        <v>890</v>
      </c>
      <c r="AV21" s="3">
        <f>AR21</f>
        <v>110</v>
      </c>
      <c r="AW21" s="3">
        <f>AV21</f>
        <v>110</v>
      </c>
      <c r="AX21" s="3">
        <f t="shared" si="36"/>
        <v>110</v>
      </c>
      <c r="AY21" s="3">
        <f t="shared" si="36"/>
        <v>110</v>
      </c>
      <c r="AZ21" s="3">
        <f t="shared" si="36"/>
        <v>110</v>
      </c>
      <c r="BA21" s="3">
        <f>AS21</f>
        <v>890</v>
      </c>
      <c r="BB21" s="3">
        <f>BA21</f>
        <v>890</v>
      </c>
      <c r="BC21" s="3">
        <f t="shared" si="37"/>
        <v>890</v>
      </c>
      <c r="BD21" s="3">
        <f t="shared" si="37"/>
        <v>890</v>
      </c>
      <c r="BE21" s="3">
        <f t="shared" si="37"/>
        <v>890</v>
      </c>
      <c r="BF21" s="15" t="s">
        <v>166</v>
      </c>
      <c r="BG21" s="15" t="s">
        <v>166</v>
      </c>
      <c r="BH21" s="15" t="s">
        <v>166</v>
      </c>
      <c r="BI21" s="15" t="s">
        <v>166</v>
      </c>
      <c r="BJ21" s="15" t="s">
        <v>166</v>
      </c>
    </row>
    <row r="22" spans="2:62" ht="42.75" customHeight="1" x14ac:dyDescent="0.25">
      <c r="B22" s="3" t="s">
        <v>41</v>
      </c>
      <c r="C22" s="3" t="s">
        <v>101</v>
      </c>
      <c r="D22" s="3" t="s">
        <v>98</v>
      </c>
      <c r="E22" s="3" t="s">
        <v>22</v>
      </c>
      <c r="F22" s="3" t="s">
        <v>125</v>
      </c>
      <c r="G22" s="3" t="s">
        <v>126</v>
      </c>
      <c r="H22" s="3" t="s">
        <v>23</v>
      </c>
      <c r="I22" s="3" t="s">
        <v>23</v>
      </c>
      <c r="J22" s="4" t="s">
        <v>9</v>
      </c>
      <c r="K22" s="4" t="s">
        <v>9</v>
      </c>
      <c r="L22" s="4" t="s">
        <v>42</v>
      </c>
      <c r="M22" s="4" t="s">
        <v>43</v>
      </c>
      <c r="N22" s="4" t="s">
        <v>44</v>
      </c>
      <c r="O22" s="4" t="s">
        <v>45</v>
      </c>
      <c r="P22" s="4">
        <v>233.28</v>
      </c>
      <c r="Q22" s="4">
        <v>18.760000000000002</v>
      </c>
      <c r="R22" s="26" t="s">
        <v>171</v>
      </c>
      <c r="S22" s="26" t="s">
        <v>171</v>
      </c>
      <c r="T22" s="3" t="s">
        <v>164</v>
      </c>
      <c r="U22" s="3">
        <f>277.13*1000</f>
        <v>277130</v>
      </c>
      <c r="V22" s="3">
        <f>8.47*1000</f>
        <v>8470</v>
      </c>
      <c r="W22" s="3">
        <f>277.13*1000</f>
        <v>277130</v>
      </c>
      <c r="X22" s="3">
        <f>277.13*1000</f>
        <v>277130</v>
      </c>
      <c r="Y22" s="3">
        <f>165.56*1000</f>
        <v>165560</v>
      </c>
      <c r="Z22" s="3">
        <f>118.3*1000</f>
        <v>118300</v>
      </c>
      <c r="AA22" s="3">
        <f>75.69*1000</f>
        <v>75690</v>
      </c>
      <c r="AB22" s="3">
        <f>8.47*1000</f>
        <v>8470</v>
      </c>
      <c r="AC22" s="3">
        <f>8.47*1000</f>
        <v>8470</v>
      </c>
      <c r="AD22" s="3">
        <f>8.47*1000</f>
        <v>8470</v>
      </c>
      <c r="AE22" s="3">
        <f>8.47*1000</f>
        <v>8470</v>
      </c>
      <c r="AF22" s="3">
        <f>8.47*1000</f>
        <v>8470</v>
      </c>
      <c r="AG22" s="3">
        <v>5</v>
      </c>
      <c r="AH22" s="3">
        <v>5</v>
      </c>
      <c r="AI22" s="3">
        <v>5</v>
      </c>
      <c r="AJ22" s="3">
        <v>5</v>
      </c>
      <c r="AK22" s="3">
        <v>5</v>
      </c>
      <c r="AL22" s="4">
        <f t="shared" ref="AL22" si="49">SUM(AG22:AK22)</f>
        <v>25</v>
      </c>
      <c r="AM22" s="4">
        <f t="shared" ref="AM22" si="50">(AL22/25)*100</f>
        <v>100</v>
      </c>
      <c r="AN22" s="70" t="s">
        <v>236</v>
      </c>
      <c r="AO22" s="3"/>
      <c r="AP22" s="3"/>
      <c r="AQ22" s="3" t="s">
        <v>301</v>
      </c>
      <c r="AR22" s="18">
        <f>U22</f>
        <v>277130</v>
      </c>
      <c r="AS22" s="18">
        <f>V22</f>
        <v>8470</v>
      </c>
      <c r="AT22" s="71">
        <f>AZ22</f>
        <v>75690</v>
      </c>
      <c r="AU22" s="18">
        <f>BE22</f>
        <v>8470</v>
      </c>
      <c r="AV22" s="18">
        <f>W22</f>
        <v>277130</v>
      </c>
      <c r="AW22" s="18">
        <f t="shared" ref="AW22" si="51">X22</f>
        <v>277130</v>
      </c>
      <c r="AX22" s="18">
        <f t="shared" ref="AX22" si="52">Y22</f>
        <v>165560</v>
      </c>
      <c r="AY22" s="18">
        <f t="shared" ref="AY22" si="53">Z22</f>
        <v>118300</v>
      </c>
      <c r="AZ22" s="18">
        <f t="shared" ref="AZ22" si="54">AA22</f>
        <v>75690</v>
      </c>
      <c r="BA22" s="18">
        <f t="shared" ref="BA22" si="55">AB22</f>
        <v>8470</v>
      </c>
      <c r="BB22" s="18">
        <f t="shared" ref="BB22" si="56">AC22</f>
        <v>8470</v>
      </c>
      <c r="BC22" s="18">
        <f t="shared" ref="BC22" si="57">AD22</f>
        <v>8470</v>
      </c>
      <c r="BD22" s="18">
        <f t="shared" ref="BD22" si="58">AE22</f>
        <v>8470</v>
      </c>
      <c r="BE22" s="18">
        <f t="shared" ref="BE22" si="59">AF22</f>
        <v>8470</v>
      </c>
      <c r="BF22" s="15" t="s">
        <v>166</v>
      </c>
      <c r="BG22" s="15" t="s">
        <v>166</v>
      </c>
      <c r="BH22" s="15" t="s">
        <v>166</v>
      </c>
      <c r="BI22" s="15" t="s">
        <v>166</v>
      </c>
      <c r="BJ22" s="15" t="s">
        <v>166</v>
      </c>
    </row>
    <row r="23" spans="2:62" s="9" customFormat="1" ht="38.25" x14ac:dyDescent="0.25">
      <c r="B23" s="12" t="s">
        <v>46</v>
      </c>
      <c r="C23" s="7" t="s">
        <v>101</v>
      </c>
      <c r="D23" s="7" t="s">
        <v>98</v>
      </c>
      <c r="E23" s="7" t="s">
        <v>22</v>
      </c>
      <c r="F23" s="7" t="s">
        <v>125</v>
      </c>
      <c r="G23" s="7" t="s">
        <v>126</v>
      </c>
      <c r="H23" s="7" t="s">
        <v>23</v>
      </c>
      <c r="I23" s="7" t="s">
        <v>23</v>
      </c>
      <c r="J23" s="8" t="s">
        <v>49</v>
      </c>
      <c r="K23" s="8" t="s">
        <v>50</v>
      </c>
      <c r="L23" s="8" t="s">
        <v>9</v>
      </c>
      <c r="M23" s="8" t="s">
        <v>9</v>
      </c>
      <c r="N23" s="8" t="s">
        <v>47</v>
      </c>
      <c r="O23" s="8" t="s">
        <v>48</v>
      </c>
      <c r="P23" s="8">
        <v>0.17</v>
      </c>
      <c r="Q23" s="8">
        <v>0.44</v>
      </c>
      <c r="R23" s="85" t="s">
        <v>171</v>
      </c>
      <c r="S23" s="85" t="s">
        <v>171</v>
      </c>
      <c r="T23" s="7" t="s">
        <v>160</v>
      </c>
      <c r="U23" s="15" t="s">
        <v>166</v>
      </c>
      <c r="V23" s="15" t="s">
        <v>166</v>
      </c>
      <c r="W23" s="15" t="s">
        <v>166</v>
      </c>
      <c r="X23" s="15" t="s">
        <v>166</v>
      </c>
      <c r="Y23" s="15" t="s">
        <v>166</v>
      </c>
      <c r="Z23" s="15" t="s">
        <v>166</v>
      </c>
      <c r="AA23" s="15" t="s">
        <v>166</v>
      </c>
      <c r="AB23" s="15" t="s">
        <v>166</v>
      </c>
      <c r="AC23" s="15" t="s">
        <v>166</v>
      </c>
      <c r="AD23" s="15" t="s">
        <v>166</v>
      </c>
      <c r="AE23" s="15" t="s">
        <v>166</v>
      </c>
      <c r="AF23" s="15" t="s">
        <v>166</v>
      </c>
      <c r="AG23" s="15" t="s">
        <v>166</v>
      </c>
      <c r="AH23" s="15" t="s">
        <v>166</v>
      </c>
      <c r="AI23" s="15" t="s">
        <v>166</v>
      </c>
      <c r="AJ23" s="15" t="s">
        <v>166</v>
      </c>
      <c r="AK23" s="15" t="s">
        <v>166</v>
      </c>
      <c r="AL23" s="15" t="s">
        <v>166</v>
      </c>
      <c r="AM23" s="15" t="s">
        <v>166</v>
      </c>
      <c r="AN23" s="15" t="s">
        <v>166</v>
      </c>
      <c r="AO23" s="15" t="s">
        <v>166</v>
      </c>
      <c r="AP23" s="15" t="s">
        <v>166</v>
      </c>
      <c r="AQ23" s="7" t="s">
        <v>170</v>
      </c>
      <c r="AR23" s="81" t="s">
        <v>166</v>
      </c>
      <c r="AS23" s="81" t="s">
        <v>166</v>
      </c>
      <c r="AT23" s="81" t="s">
        <v>166</v>
      </c>
      <c r="AU23" s="81" t="s">
        <v>166</v>
      </c>
      <c r="AV23" s="81" t="s">
        <v>166</v>
      </c>
      <c r="AW23" s="81" t="s">
        <v>166</v>
      </c>
      <c r="AX23" s="81" t="s">
        <v>166</v>
      </c>
      <c r="AY23" s="81" t="s">
        <v>166</v>
      </c>
      <c r="AZ23" s="81" t="s">
        <v>166</v>
      </c>
      <c r="BA23" s="81" t="s">
        <v>166</v>
      </c>
      <c r="BB23" s="81" t="s">
        <v>166</v>
      </c>
      <c r="BC23" s="81" t="s">
        <v>166</v>
      </c>
      <c r="BD23" s="81" t="s">
        <v>166</v>
      </c>
      <c r="BE23" s="81" t="s">
        <v>166</v>
      </c>
      <c r="BF23" s="81" t="s">
        <v>166</v>
      </c>
      <c r="BG23" s="81" t="s">
        <v>166</v>
      </c>
      <c r="BH23" s="81" t="s">
        <v>166</v>
      </c>
      <c r="BI23" s="81" t="s">
        <v>166</v>
      </c>
      <c r="BJ23" s="81" t="s">
        <v>166</v>
      </c>
    </row>
    <row r="24" spans="2:62" ht="91.5" customHeight="1" x14ac:dyDescent="0.25">
      <c r="B24" s="3" t="s">
        <v>169</v>
      </c>
      <c r="C24" s="3" t="s">
        <v>104</v>
      </c>
      <c r="D24" s="3" t="s">
        <v>98</v>
      </c>
      <c r="E24" s="3" t="s">
        <v>22</v>
      </c>
      <c r="F24" s="3" t="s">
        <v>125</v>
      </c>
      <c r="G24" s="3" t="s">
        <v>126</v>
      </c>
      <c r="H24" s="3" t="s">
        <v>23</v>
      </c>
      <c r="I24" s="3" t="s">
        <v>23</v>
      </c>
      <c r="J24" s="4" t="s">
        <v>15</v>
      </c>
      <c r="K24" s="4" t="s">
        <v>51</v>
      </c>
      <c r="L24" s="4" t="s">
        <v>9</v>
      </c>
      <c r="M24" s="4" t="s">
        <v>9</v>
      </c>
      <c r="N24" s="4">
        <v>0.34</v>
      </c>
      <c r="O24" s="4">
        <v>1.08</v>
      </c>
      <c r="P24" s="4">
        <v>0.34</v>
      </c>
      <c r="Q24" s="4">
        <v>1.08</v>
      </c>
      <c r="R24" s="4">
        <f>0.64*12/1000</f>
        <v>7.6799999999999993E-3</v>
      </c>
      <c r="S24" s="4">
        <f>2.61*12/1000</f>
        <v>3.1320000000000001E-2</v>
      </c>
      <c r="T24" s="3" t="s">
        <v>160</v>
      </c>
      <c r="U24" s="15" t="s">
        <v>166</v>
      </c>
      <c r="V24" s="15" t="s">
        <v>166</v>
      </c>
      <c r="W24" s="15" t="s">
        <v>166</v>
      </c>
      <c r="X24" s="15" t="s">
        <v>166</v>
      </c>
      <c r="Y24" s="15" t="s">
        <v>166</v>
      </c>
      <c r="Z24" s="15" t="s">
        <v>166</v>
      </c>
      <c r="AA24" s="15" t="s">
        <v>166</v>
      </c>
      <c r="AB24" s="15" t="s">
        <v>166</v>
      </c>
      <c r="AC24" s="15" t="s">
        <v>166</v>
      </c>
      <c r="AD24" s="15" t="s">
        <v>166</v>
      </c>
      <c r="AE24" s="15" t="s">
        <v>166</v>
      </c>
      <c r="AF24" s="15" t="s">
        <v>166</v>
      </c>
      <c r="AG24" s="15" t="s">
        <v>166</v>
      </c>
      <c r="AH24" s="15" t="s">
        <v>166</v>
      </c>
      <c r="AI24" s="15" t="s">
        <v>166</v>
      </c>
      <c r="AJ24" s="15" t="s">
        <v>166</v>
      </c>
      <c r="AK24" s="15" t="s">
        <v>166</v>
      </c>
      <c r="AL24" s="15" t="s">
        <v>166</v>
      </c>
      <c r="AM24" s="15" t="s">
        <v>166</v>
      </c>
      <c r="AN24" s="15" t="s">
        <v>166</v>
      </c>
      <c r="AO24" s="15" t="s">
        <v>166</v>
      </c>
      <c r="AP24" s="15" t="s">
        <v>166</v>
      </c>
      <c r="AQ24" s="3" t="s">
        <v>318</v>
      </c>
      <c r="AR24" s="3">
        <f t="shared" ref="AR24:AS30" si="60">P24*1000</f>
        <v>340</v>
      </c>
      <c r="AS24" s="3">
        <f t="shared" si="60"/>
        <v>1080</v>
      </c>
      <c r="AT24" s="3">
        <f t="shared" ref="AT24:AU26" si="61">+N24*1000</f>
        <v>340</v>
      </c>
      <c r="AU24" s="3">
        <f t="shared" si="61"/>
        <v>1080</v>
      </c>
      <c r="AV24" s="3">
        <f>AR24</f>
        <v>340</v>
      </c>
      <c r="AW24" s="3">
        <f t="shared" ref="AW24:AW30" si="62">AV24</f>
        <v>340</v>
      </c>
      <c r="AX24" s="3">
        <f t="shared" ref="AX24:AY28" si="63">AW24</f>
        <v>340</v>
      </c>
      <c r="AY24" s="3">
        <f t="shared" si="63"/>
        <v>340</v>
      </c>
      <c r="AZ24" s="3">
        <f>+AT24</f>
        <v>340</v>
      </c>
      <c r="BA24" s="3">
        <f t="shared" ref="BA24:BA30" si="64">AS24</f>
        <v>1080</v>
      </c>
      <c r="BB24" s="3">
        <f t="shared" ref="BB24:BB30" si="65">BA24</f>
        <v>1080</v>
      </c>
      <c r="BC24" s="3">
        <f t="shared" ref="BC24:BD28" si="66">BB24</f>
        <v>1080</v>
      </c>
      <c r="BD24" s="3">
        <f t="shared" si="66"/>
        <v>1080</v>
      </c>
      <c r="BE24" s="3">
        <f>+AU24</f>
        <v>1080</v>
      </c>
      <c r="BF24" s="15" t="s">
        <v>167</v>
      </c>
      <c r="BG24" s="15" t="s">
        <v>167</v>
      </c>
      <c r="BH24" s="15" t="s">
        <v>167</v>
      </c>
      <c r="BI24" s="15" t="s">
        <v>167</v>
      </c>
      <c r="BJ24" s="15" t="s">
        <v>167</v>
      </c>
    </row>
    <row r="25" spans="2:62" ht="63.75" x14ac:dyDescent="0.25">
      <c r="B25" s="3" t="s">
        <v>52</v>
      </c>
      <c r="C25" s="3" t="s">
        <v>101</v>
      </c>
      <c r="D25" s="3" t="s">
        <v>98</v>
      </c>
      <c r="E25" s="3" t="s">
        <v>22</v>
      </c>
      <c r="F25" s="3" t="s">
        <v>125</v>
      </c>
      <c r="G25" s="3" t="s">
        <v>126</v>
      </c>
      <c r="H25" s="3" t="s">
        <v>23</v>
      </c>
      <c r="I25" s="3" t="s">
        <v>23</v>
      </c>
      <c r="J25" s="4" t="s">
        <v>15</v>
      </c>
      <c r="K25" s="4" t="s">
        <v>53</v>
      </c>
      <c r="L25" s="4" t="s">
        <v>9</v>
      </c>
      <c r="M25" s="4" t="s">
        <v>9</v>
      </c>
      <c r="N25" s="4">
        <v>0.34</v>
      </c>
      <c r="O25" s="4">
        <v>0.85</v>
      </c>
      <c r="P25" s="4">
        <v>0.34</v>
      </c>
      <c r="Q25" s="4">
        <v>0.85</v>
      </c>
      <c r="R25" s="26" t="s">
        <v>171</v>
      </c>
      <c r="S25" s="26" t="s">
        <v>171</v>
      </c>
      <c r="T25" s="3" t="s">
        <v>160</v>
      </c>
      <c r="U25" s="15" t="s">
        <v>166</v>
      </c>
      <c r="V25" s="15" t="s">
        <v>166</v>
      </c>
      <c r="W25" s="15" t="s">
        <v>166</v>
      </c>
      <c r="X25" s="15" t="s">
        <v>166</v>
      </c>
      <c r="Y25" s="15" t="s">
        <v>166</v>
      </c>
      <c r="Z25" s="15" t="s">
        <v>166</v>
      </c>
      <c r="AA25" s="15" t="s">
        <v>166</v>
      </c>
      <c r="AB25" s="15" t="s">
        <v>166</v>
      </c>
      <c r="AC25" s="15" t="s">
        <v>166</v>
      </c>
      <c r="AD25" s="15" t="s">
        <v>166</v>
      </c>
      <c r="AE25" s="15" t="s">
        <v>166</v>
      </c>
      <c r="AF25" s="15" t="s">
        <v>166</v>
      </c>
      <c r="AG25" s="15" t="s">
        <v>166</v>
      </c>
      <c r="AH25" s="15" t="s">
        <v>166</v>
      </c>
      <c r="AI25" s="15" t="s">
        <v>166</v>
      </c>
      <c r="AJ25" s="15" t="s">
        <v>166</v>
      </c>
      <c r="AK25" s="15" t="s">
        <v>166</v>
      </c>
      <c r="AL25" s="15" t="s">
        <v>166</v>
      </c>
      <c r="AM25" s="15" t="s">
        <v>166</v>
      </c>
      <c r="AN25" s="15" t="s">
        <v>166</v>
      </c>
      <c r="AO25" s="15" t="s">
        <v>166</v>
      </c>
      <c r="AP25" s="15" t="s">
        <v>166</v>
      </c>
      <c r="AQ25" s="3" t="s">
        <v>319</v>
      </c>
      <c r="AR25" s="3">
        <f t="shared" si="60"/>
        <v>340</v>
      </c>
      <c r="AS25" s="3">
        <f t="shared" si="60"/>
        <v>850</v>
      </c>
      <c r="AT25" s="3">
        <f t="shared" si="61"/>
        <v>340</v>
      </c>
      <c r="AU25" s="3">
        <f t="shared" si="61"/>
        <v>850</v>
      </c>
      <c r="AV25" s="3">
        <f>AR25</f>
        <v>340</v>
      </c>
      <c r="AW25" s="3">
        <f t="shared" si="62"/>
        <v>340</v>
      </c>
      <c r="AX25" s="3">
        <f t="shared" ref="AX25" si="67">AW25</f>
        <v>340</v>
      </c>
      <c r="AY25" s="3">
        <f t="shared" ref="AY25" si="68">AX25</f>
        <v>340</v>
      </c>
      <c r="AZ25" s="3">
        <f>+AT25</f>
        <v>340</v>
      </c>
      <c r="BA25" s="3">
        <f t="shared" si="64"/>
        <v>850</v>
      </c>
      <c r="BB25" s="3">
        <f t="shared" si="65"/>
        <v>850</v>
      </c>
      <c r="BC25" s="3">
        <f t="shared" ref="BC25" si="69">BB25</f>
        <v>850</v>
      </c>
      <c r="BD25" s="3">
        <f t="shared" ref="BD25" si="70">BC25</f>
        <v>850</v>
      </c>
      <c r="BE25" s="3">
        <f>+AU25</f>
        <v>850</v>
      </c>
      <c r="BF25" s="15" t="s">
        <v>167</v>
      </c>
      <c r="BG25" s="15" t="s">
        <v>167</v>
      </c>
      <c r="BH25" s="15" t="s">
        <v>167</v>
      </c>
      <c r="BI25" s="15" t="s">
        <v>167</v>
      </c>
      <c r="BJ25" s="15" t="s">
        <v>167</v>
      </c>
    </row>
    <row r="26" spans="2:62" ht="51" x14ac:dyDescent="0.25">
      <c r="B26" s="3" t="s">
        <v>168</v>
      </c>
      <c r="C26" s="3" t="s">
        <v>101</v>
      </c>
      <c r="D26" s="3" t="s">
        <v>98</v>
      </c>
      <c r="E26" s="3" t="s">
        <v>22</v>
      </c>
      <c r="F26" s="3" t="s">
        <v>121</v>
      </c>
      <c r="G26" s="3" t="s">
        <v>122</v>
      </c>
      <c r="H26" s="3" t="s">
        <v>23</v>
      </c>
      <c r="I26" s="3" t="s">
        <v>23</v>
      </c>
      <c r="J26" s="4" t="s">
        <v>54</v>
      </c>
      <c r="K26" s="4" t="s">
        <v>55</v>
      </c>
      <c r="L26" s="4" t="s">
        <v>9</v>
      </c>
      <c r="M26" s="4" t="s">
        <v>9</v>
      </c>
      <c r="N26" s="4">
        <v>5.6</v>
      </c>
      <c r="O26" s="4">
        <v>1.07</v>
      </c>
      <c r="P26" s="4">
        <v>7</v>
      </c>
      <c r="Q26" s="4">
        <v>1.34</v>
      </c>
      <c r="R26" s="13">
        <f>7.509*12/1000</f>
        <v>9.0108000000000008E-2</v>
      </c>
      <c r="S26" s="13">
        <f>5.518*12/1000</f>
        <v>6.6215999999999997E-2</v>
      </c>
      <c r="T26" s="3" t="s">
        <v>160</v>
      </c>
      <c r="U26" s="15" t="s">
        <v>166</v>
      </c>
      <c r="V26" s="15" t="s">
        <v>166</v>
      </c>
      <c r="W26" s="15" t="s">
        <v>166</v>
      </c>
      <c r="X26" s="15" t="s">
        <v>166</v>
      </c>
      <c r="Y26" s="15" t="s">
        <v>166</v>
      </c>
      <c r="Z26" s="15" t="s">
        <v>166</v>
      </c>
      <c r="AA26" s="15" t="s">
        <v>166</v>
      </c>
      <c r="AB26" s="15" t="s">
        <v>166</v>
      </c>
      <c r="AC26" s="15" t="s">
        <v>166</v>
      </c>
      <c r="AD26" s="15" t="s">
        <v>166</v>
      </c>
      <c r="AE26" s="15" t="s">
        <v>166</v>
      </c>
      <c r="AF26" s="15" t="s">
        <v>166</v>
      </c>
      <c r="AG26" s="15" t="s">
        <v>166</v>
      </c>
      <c r="AH26" s="15" t="s">
        <v>166</v>
      </c>
      <c r="AI26" s="15" t="s">
        <v>166</v>
      </c>
      <c r="AJ26" s="15" t="s">
        <v>166</v>
      </c>
      <c r="AK26" s="15" t="s">
        <v>166</v>
      </c>
      <c r="AL26" s="15" t="s">
        <v>166</v>
      </c>
      <c r="AM26" s="15" t="s">
        <v>166</v>
      </c>
      <c r="AN26" s="15" t="s">
        <v>166</v>
      </c>
      <c r="AO26" s="15" t="s">
        <v>166</v>
      </c>
      <c r="AP26" s="15" t="s">
        <v>166</v>
      </c>
      <c r="AQ26" s="7" t="s">
        <v>320</v>
      </c>
      <c r="AR26" s="3">
        <f t="shared" si="60"/>
        <v>7000</v>
      </c>
      <c r="AS26" s="3">
        <f t="shared" si="60"/>
        <v>1340</v>
      </c>
      <c r="AT26" s="3">
        <f t="shared" si="61"/>
        <v>5600</v>
      </c>
      <c r="AU26" s="3">
        <f t="shared" si="61"/>
        <v>1070</v>
      </c>
      <c r="AV26" s="3">
        <f>AR26</f>
        <v>7000</v>
      </c>
      <c r="AW26" s="3">
        <f t="shared" si="62"/>
        <v>7000</v>
      </c>
      <c r="AX26" s="3">
        <f t="shared" si="63"/>
        <v>7000</v>
      </c>
      <c r="AY26" s="3">
        <f t="shared" si="63"/>
        <v>7000</v>
      </c>
      <c r="AZ26" s="3">
        <f>+AT26</f>
        <v>5600</v>
      </c>
      <c r="BA26" s="3">
        <f t="shared" si="64"/>
        <v>1340</v>
      </c>
      <c r="BB26" s="3">
        <f t="shared" si="65"/>
        <v>1340</v>
      </c>
      <c r="BC26" s="3">
        <f t="shared" si="66"/>
        <v>1340</v>
      </c>
      <c r="BD26" s="3">
        <f t="shared" si="66"/>
        <v>1340</v>
      </c>
      <c r="BE26" s="3">
        <f>+AU26</f>
        <v>1070</v>
      </c>
      <c r="BF26" s="15" t="s">
        <v>167</v>
      </c>
      <c r="BG26" s="15" t="s">
        <v>167</v>
      </c>
      <c r="BH26" s="15" t="s">
        <v>167</v>
      </c>
      <c r="BI26" s="15" t="s">
        <v>167</v>
      </c>
      <c r="BJ26" s="15" t="s">
        <v>167</v>
      </c>
    </row>
    <row r="27" spans="2:62" ht="53.25" customHeight="1" x14ac:dyDescent="0.25">
      <c r="B27" s="3" t="s">
        <v>56</v>
      </c>
      <c r="C27" s="3" t="s">
        <v>101</v>
      </c>
      <c r="D27" s="3" t="s">
        <v>98</v>
      </c>
      <c r="E27" s="3" t="s">
        <v>22</v>
      </c>
      <c r="F27" s="3" t="s">
        <v>121</v>
      </c>
      <c r="G27" s="3" t="s">
        <v>122</v>
      </c>
      <c r="H27" s="3" t="s">
        <v>23</v>
      </c>
      <c r="I27" s="3" t="s">
        <v>23</v>
      </c>
      <c r="J27" s="4" t="s">
        <v>57</v>
      </c>
      <c r="K27" s="4" t="s">
        <v>58</v>
      </c>
      <c r="L27" s="4" t="s">
        <v>9</v>
      </c>
      <c r="M27" s="4" t="s">
        <v>9</v>
      </c>
      <c r="N27" s="4">
        <v>17.36</v>
      </c>
      <c r="O27" s="4">
        <v>3.14</v>
      </c>
      <c r="P27" s="4">
        <v>29.23</v>
      </c>
      <c r="Q27" s="4">
        <v>5.28</v>
      </c>
      <c r="R27" s="26" t="s">
        <v>171</v>
      </c>
      <c r="S27" s="26" t="s">
        <v>171</v>
      </c>
      <c r="T27" s="3" t="s">
        <v>311</v>
      </c>
      <c r="U27" s="15" t="s">
        <v>166</v>
      </c>
      <c r="V27" s="15" t="s">
        <v>166</v>
      </c>
      <c r="W27" s="15" t="s">
        <v>166</v>
      </c>
      <c r="X27" s="15" t="s">
        <v>166</v>
      </c>
      <c r="Y27" s="15" t="s">
        <v>166</v>
      </c>
      <c r="Z27" s="15" t="s">
        <v>166</v>
      </c>
      <c r="AA27" s="15" t="s">
        <v>166</v>
      </c>
      <c r="AB27" s="15" t="s">
        <v>166</v>
      </c>
      <c r="AC27" s="15" t="s">
        <v>166</v>
      </c>
      <c r="AD27" s="15" t="s">
        <v>166</v>
      </c>
      <c r="AE27" s="15" t="s">
        <v>166</v>
      </c>
      <c r="AF27" s="15" t="s">
        <v>166</v>
      </c>
      <c r="AG27" s="15" t="s">
        <v>166</v>
      </c>
      <c r="AH27" s="15" t="s">
        <v>166</v>
      </c>
      <c r="AI27" s="15" t="s">
        <v>166</v>
      </c>
      <c r="AJ27" s="15" t="s">
        <v>166</v>
      </c>
      <c r="AK27" s="15" t="s">
        <v>166</v>
      </c>
      <c r="AL27" s="15" t="s">
        <v>166</v>
      </c>
      <c r="AM27" s="15" t="s">
        <v>166</v>
      </c>
      <c r="AN27" s="15" t="s">
        <v>166</v>
      </c>
      <c r="AO27" s="15" t="s">
        <v>166</v>
      </c>
      <c r="AP27" s="15" t="s">
        <v>166</v>
      </c>
      <c r="AQ27" s="3" t="s">
        <v>312</v>
      </c>
      <c r="AR27" s="3">
        <f t="shared" si="60"/>
        <v>29230</v>
      </c>
      <c r="AS27" s="3">
        <f t="shared" si="60"/>
        <v>5280</v>
      </c>
      <c r="AT27" s="3">
        <f>N27*1000</f>
        <v>17360</v>
      </c>
      <c r="AU27" s="3">
        <f>O27*1000</f>
        <v>3140</v>
      </c>
      <c r="AV27" s="3">
        <f>AR27</f>
        <v>29230</v>
      </c>
      <c r="AW27" s="3">
        <f t="shared" si="62"/>
        <v>29230</v>
      </c>
      <c r="AX27" s="3">
        <f t="shared" si="63"/>
        <v>29230</v>
      </c>
      <c r="AY27" s="3">
        <f t="shared" si="63"/>
        <v>29230</v>
      </c>
      <c r="AZ27" s="3">
        <f>AT27</f>
        <v>17360</v>
      </c>
      <c r="BA27" s="3">
        <f t="shared" si="64"/>
        <v>5280</v>
      </c>
      <c r="BB27" s="3">
        <f t="shared" si="65"/>
        <v>5280</v>
      </c>
      <c r="BC27" s="3">
        <f t="shared" si="66"/>
        <v>5280</v>
      </c>
      <c r="BD27" s="3">
        <f t="shared" si="66"/>
        <v>5280</v>
      </c>
      <c r="BE27" s="3">
        <f>AU27</f>
        <v>3140</v>
      </c>
      <c r="BF27" s="15" t="s">
        <v>167</v>
      </c>
      <c r="BG27" s="15" t="s">
        <v>167</v>
      </c>
      <c r="BH27" s="15" t="s">
        <v>167</v>
      </c>
      <c r="BI27" s="15" t="s">
        <v>167</v>
      </c>
      <c r="BJ27" s="15" t="s">
        <v>167</v>
      </c>
    </row>
    <row r="28" spans="2:62" ht="76.5" x14ac:dyDescent="0.25">
      <c r="B28" s="3" t="s">
        <v>59</v>
      </c>
      <c r="C28" s="3" t="s">
        <v>101</v>
      </c>
      <c r="D28" s="3" t="s">
        <v>98</v>
      </c>
      <c r="E28" s="3" t="s">
        <v>22</v>
      </c>
      <c r="F28" s="3" t="s">
        <v>119</v>
      </c>
      <c r="G28" s="3" t="s">
        <v>120</v>
      </c>
      <c r="H28" s="3" t="s">
        <v>23</v>
      </c>
      <c r="I28" s="3" t="s">
        <v>23</v>
      </c>
      <c r="J28" s="4" t="s">
        <v>60</v>
      </c>
      <c r="K28" s="4" t="s">
        <v>61</v>
      </c>
      <c r="L28" s="4" t="s">
        <v>9</v>
      </c>
      <c r="M28" s="4" t="s">
        <v>9</v>
      </c>
      <c r="N28" s="4">
        <v>7.0000000000000007E-2</v>
      </c>
      <c r="O28" s="4">
        <v>0.03</v>
      </c>
      <c r="P28" s="4">
        <v>7.0000000000000007E-2</v>
      </c>
      <c r="Q28" s="4">
        <v>0.03</v>
      </c>
      <c r="R28" s="13">
        <f>0.55*12/1000</f>
        <v>6.6000000000000008E-3</v>
      </c>
      <c r="S28" s="13">
        <f>0.675*12/1000</f>
        <v>8.1000000000000013E-3</v>
      </c>
      <c r="T28" s="3" t="s">
        <v>160</v>
      </c>
      <c r="U28" s="15" t="s">
        <v>166</v>
      </c>
      <c r="V28" s="15" t="s">
        <v>166</v>
      </c>
      <c r="W28" s="15" t="s">
        <v>166</v>
      </c>
      <c r="X28" s="15" t="s">
        <v>166</v>
      </c>
      <c r="Y28" s="15" t="s">
        <v>166</v>
      </c>
      <c r="Z28" s="15" t="s">
        <v>166</v>
      </c>
      <c r="AA28" s="15" t="s">
        <v>166</v>
      </c>
      <c r="AB28" s="15" t="s">
        <v>166</v>
      </c>
      <c r="AC28" s="15" t="s">
        <v>166</v>
      </c>
      <c r="AD28" s="15" t="s">
        <v>166</v>
      </c>
      <c r="AE28" s="15" t="s">
        <v>166</v>
      </c>
      <c r="AF28" s="15" t="s">
        <v>166</v>
      </c>
      <c r="AG28" s="15" t="s">
        <v>166</v>
      </c>
      <c r="AH28" s="15" t="s">
        <v>166</v>
      </c>
      <c r="AI28" s="15" t="s">
        <v>166</v>
      </c>
      <c r="AJ28" s="15" t="s">
        <v>166</v>
      </c>
      <c r="AK28" s="15" t="s">
        <v>166</v>
      </c>
      <c r="AL28" s="15" t="s">
        <v>166</v>
      </c>
      <c r="AM28" s="15" t="s">
        <v>166</v>
      </c>
      <c r="AN28" s="15" t="s">
        <v>166</v>
      </c>
      <c r="AO28" s="15" t="s">
        <v>166</v>
      </c>
      <c r="AP28" s="15" t="s">
        <v>166</v>
      </c>
      <c r="AQ28" s="7" t="s">
        <v>321</v>
      </c>
      <c r="AR28" s="18">
        <f t="shared" si="60"/>
        <v>70</v>
      </c>
      <c r="AS28" s="18">
        <f t="shared" si="60"/>
        <v>30</v>
      </c>
      <c r="AT28" s="18">
        <f t="shared" ref="AT28:AU30" si="71">+N28*1000</f>
        <v>70</v>
      </c>
      <c r="AU28" s="18">
        <f t="shared" si="71"/>
        <v>30</v>
      </c>
      <c r="AV28" s="18">
        <f>+AR28</f>
        <v>70</v>
      </c>
      <c r="AW28" s="18">
        <f t="shared" si="62"/>
        <v>70</v>
      </c>
      <c r="AX28" s="18">
        <f t="shared" si="63"/>
        <v>70</v>
      </c>
      <c r="AY28" s="18">
        <f t="shared" si="63"/>
        <v>70</v>
      </c>
      <c r="AZ28" s="18">
        <f>+AT28</f>
        <v>70</v>
      </c>
      <c r="BA28" s="18">
        <f t="shared" si="64"/>
        <v>30</v>
      </c>
      <c r="BB28" s="18">
        <f t="shared" si="65"/>
        <v>30</v>
      </c>
      <c r="BC28" s="18">
        <f t="shared" si="66"/>
        <v>30</v>
      </c>
      <c r="BD28" s="18">
        <f t="shared" si="66"/>
        <v>30</v>
      </c>
      <c r="BE28" s="18">
        <f>+AU28</f>
        <v>30</v>
      </c>
      <c r="BF28" s="19" t="s">
        <v>167</v>
      </c>
      <c r="BG28" s="19" t="s">
        <v>167</v>
      </c>
      <c r="BH28" s="19" t="s">
        <v>167</v>
      </c>
      <c r="BI28" s="19" t="s">
        <v>167</v>
      </c>
      <c r="BJ28" s="19" t="s">
        <v>167</v>
      </c>
    </row>
    <row r="29" spans="2:62" ht="63.75" x14ac:dyDescent="0.25">
      <c r="B29" s="3" t="s">
        <v>62</v>
      </c>
      <c r="C29" s="3" t="s">
        <v>101</v>
      </c>
      <c r="D29" s="3" t="s">
        <v>98</v>
      </c>
      <c r="E29" s="3" t="s">
        <v>22</v>
      </c>
      <c r="F29" s="3" t="s">
        <v>125</v>
      </c>
      <c r="G29" s="3" t="s">
        <v>126</v>
      </c>
      <c r="H29" s="3" t="s">
        <v>23</v>
      </c>
      <c r="I29" s="3" t="s">
        <v>23</v>
      </c>
      <c r="J29" s="4">
        <v>2022</v>
      </c>
      <c r="K29" s="4">
        <v>4205</v>
      </c>
      <c r="L29" s="4" t="s">
        <v>63</v>
      </c>
      <c r="M29" s="4" t="s">
        <v>64</v>
      </c>
      <c r="N29" s="4">
        <v>1.81</v>
      </c>
      <c r="O29" s="4">
        <v>1.77</v>
      </c>
      <c r="P29" s="4">
        <v>1.7</v>
      </c>
      <c r="Q29" s="4">
        <v>3.54</v>
      </c>
      <c r="R29" s="26" t="s">
        <v>171</v>
      </c>
      <c r="S29" s="26" t="s">
        <v>171</v>
      </c>
      <c r="T29" s="3" t="s">
        <v>160</v>
      </c>
      <c r="U29" s="15" t="s">
        <v>166</v>
      </c>
      <c r="V29" s="15" t="s">
        <v>166</v>
      </c>
      <c r="W29" s="15" t="s">
        <v>166</v>
      </c>
      <c r="X29" s="15" t="s">
        <v>166</v>
      </c>
      <c r="Y29" s="15" t="s">
        <v>166</v>
      </c>
      <c r="Z29" s="15" t="s">
        <v>166</v>
      </c>
      <c r="AA29" s="15" t="s">
        <v>166</v>
      </c>
      <c r="AB29" s="15" t="s">
        <v>166</v>
      </c>
      <c r="AC29" s="15" t="s">
        <v>166</v>
      </c>
      <c r="AD29" s="15" t="s">
        <v>166</v>
      </c>
      <c r="AE29" s="15" t="s">
        <v>166</v>
      </c>
      <c r="AF29" s="15" t="s">
        <v>166</v>
      </c>
      <c r="AG29" s="15" t="s">
        <v>166</v>
      </c>
      <c r="AH29" s="15" t="s">
        <v>166</v>
      </c>
      <c r="AI29" s="15" t="s">
        <v>166</v>
      </c>
      <c r="AJ29" s="15" t="s">
        <v>166</v>
      </c>
      <c r="AK29" s="15" t="s">
        <v>166</v>
      </c>
      <c r="AL29" s="15" t="s">
        <v>166</v>
      </c>
      <c r="AM29" s="15" t="s">
        <v>166</v>
      </c>
      <c r="AN29" s="15" t="s">
        <v>166</v>
      </c>
      <c r="AO29" s="15" t="s">
        <v>166</v>
      </c>
      <c r="AP29" s="15" t="s">
        <v>166</v>
      </c>
      <c r="AQ29" s="7" t="s">
        <v>322</v>
      </c>
      <c r="AR29" s="18">
        <f t="shared" si="60"/>
        <v>1700</v>
      </c>
      <c r="AS29" s="18">
        <f t="shared" si="60"/>
        <v>3540</v>
      </c>
      <c r="AT29" s="18">
        <f t="shared" si="71"/>
        <v>1810</v>
      </c>
      <c r="AU29" s="18">
        <f t="shared" si="71"/>
        <v>1770</v>
      </c>
      <c r="AV29" s="18">
        <f>+AR29</f>
        <v>1700</v>
      </c>
      <c r="AW29" s="18">
        <f t="shared" si="62"/>
        <v>1700</v>
      </c>
      <c r="AX29" s="18">
        <f t="shared" ref="AX29" si="72">AW29</f>
        <v>1700</v>
      </c>
      <c r="AY29" s="18">
        <f t="shared" ref="AY29" si="73">AX29</f>
        <v>1700</v>
      </c>
      <c r="AZ29" s="18">
        <f>+AT29</f>
        <v>1810</v>
      </c>
      <c r="BA29" s="18">
        <f t="shared" si="64"/>
        <v>3540</v>
      </c>
      <c r="BB29" s="18">
        <f t="shared" si="65"/>
        <v>3540</v>
      </c>
      <c r="BC29" s="18">
        <f t="shared" ref="BC29" si="74">BB29</f>
        <v>3540</v>
      </c>
      <c r="BD29" s="18">
        <f t="shared" ref="BD29" si="75">BC29</f>
        <v>3540</v>
      </c>
      <c r="BE29" s="18">
        <f>+AU29</f>
        <v>1770</v>
      </c>
      <c r="BF29" s="19" t="s">
        <v>167</v>
      </c>
      <c r="BG29" s="19" t="s">
        <v>167</v>
      </c>
      <c r="BH29" s="19" t="s">
        <v>167</v>
      </c>
      <c r="BI29" s="19" t="s">
        <v>167</v>
      </c>
      <c r="BJ29" s="19" t="s">
        <v>167</v>
      </c>
    </row>
    <row r="30" spans="2:62" ht="63.75" x14ac:dyDescent="0.25">
      <c r="B30" s="7" t="s">
        <v>65</v>
      </c>
      <c r="C30" s="3" t="s">
        <v>101</v>
      </c>
      <c r="D30" s="3" t="s">
        <v>98</v>
      </c>
      <c r="E30" s="3" t="s">
        <v>22</v>
      </c>
      <c r="F30" s="3" t="s">
        <v>123</v>
      </c>
      <c r="G30" s="3" t="s">
        <v>124</v>
      </c>
      <c r="H30" s="3" t="s">
        <v>23</v>
      </c>
      <c r="I30" s="3" t="s">
        <v>23</v>
      </c>
      <c r="J30" s="4" t="s">
        <v>12</v>
      </c>
      <c r="K30" s="4">
        <v>1707</v>
      </c>
      <c r="L30" s="4" t="s">
        <v>9</v>
      </c>
      <c r="M30" s="4" t="s">
        <v>9</v>
      </c>
      <c r="N30" s="4">
        <v>0.89</v>
      </c>
      <c r="O30" s="4">
        <v>1.44</v>
      </c>
      <c r="P30" s="4">
        <v>0.89</v>
      </c>
      <c r="Q30" s="4">
        <v>1.44</v>
      </c>
      <c r="R30" s="26" t="s">
        <v>171</v>
      </c>
      <c r="S30" s="26" t="s">
        <v>171</v>
      </c>
      <c r="T30" s="3" t="s">
        <v>160</v>
      </c>
      <c r="U30" s="15" t="s">
        <v>166</v>
      </c>
      <c r="V30" s="15" t="s">
        <v>166</v>
      </c>
      <c r="W30" s="15" t="s">
        <v>166</v>
      </c>
      <c r="X30" s="15" t="s">
        <v>166</v>
      </c>
      <c r="Y30" s="15" t="s">
        <v>166</v>
      </c>
      <c r="Z30" s="15" t="s">
        <v>166</v>
      </c>
      <c r="AA30" s="15" t="s">
        <v>166</v>
      </c>
      <c r="AB30" s="15" t="s">
        <v>166</v>
      </c>
      <c r="AC30" s="15" t="s">
        <v>166</v>
      </c>
      <c r="AD30" s="15" t="s">
        <v>166</v>
      </c>
      <c r="AE30" s="15" t="s">
        <v>166</v>
      </c>
      <c r="AF30" s="15" t="s">
        <v>166</v>
      </c>
      <c r="AG30" s="15" t="s">
        <v>166</v>
      </c>
      <c r="AH30" s="15" t="s">
        <v>166</v>
      </c>
      <c r="AI30" s="15" t="s">
        <v>166</v>
      </c>
      <c r="AJ30" s="15" t="s">
        <v>166</v>
      </c>
      <c r="AK30" s="15" t="s">
        <v>166</v>
      </c>
      <c r="AL30" s="15" t="s">
        <v>166</v>
      </c>
      <c r="AM30" s="15" t="s">
        <v>166</v>
      </c>
      <c r="AN30" s="15" t="s">
        <v>166</v>
      </c>
      <c r="AO30" s="15" t="s">
        <v>166</v>
      </c>
      <c r="AP30" s="15" t="s">
        <v>166</v>
      </c>
      <c r="AQ30" s="7" t="s">
        <v>323</v>
      </c>
      <c r="AR30" s="18">
        <f t="shared" si="60"/>
        <v>890</v>
      </c>
      <c r="AS30" s="18">
        <f t="shared" si="60"/>
        <v>1440</v>
      </c>
      <c r="AT30" s="18">
        <f t="shared" si="71"/>
        <v>890</v>
      </c>
      <c r="AU30" s="18">
        <f t="shared" si="71"/>
        <v>1440</v>
      </c>
      <c r="AV30" s="18">
        <f>+AR30</f>
        <v>890</v>
      </c>
      <c r="AW30" s="18">
        <f t="shared" si="62"/>
        <v>890</v>
      </c>
      <c r="AX30" s="18">
        <f t="shared" ref="AX30" si="76">AW30</f>
        <v>890</v>
      </c>
      <c r="AY30" s="18">
        <f t="shared" ref="AY30" si="77">AX30</f>
        <v>890</v>
      </c>
      <c r="AZ30" s="18">
        <f>+AT30</f>
        <v>890</v>
      </c>
      <c r="BA30" s="18">
        <f t="shared" si="64"/>
        <v>1440</v>
      </c>
      <c r="BB30" s="18">
        <f t="shared" si="65"/>
        <v>1440</v>
      </c>
      <c r="BC30" s="18">
        <f t="shared" ref="BC30" si="78">BB30</f>
        <v>1440</v>
      </c>
      <c r="BD30" s="18">
        <f t="shared" ref="BD30" si="79">BC30</f>
        <v>1440</v>
      </c>
      <c r="BE30" s="18">
        <f>+AU30</f>
        <v>1440</v>
      </c>
      <c r="BF30" s="19" t="s">
        <v>167</v>
      </c>
      <c r="BG30" s="19" t="s">
        <v>167</v>
      </c>
      <c r="BH30" s="19" t="s">
        <v>167</v>
      </c>
      <c r="BI30" s="19" t="s">
        <v>167</v>
      </c>
      <c r="BJ30" s="19" t="s">
        <v>167</v>
      </c>
    </row>
    <row r="31" spans="2:62" ht="51" x14ac:dyDescent="0.25">
      <c r="B31" s="3" t="s">
        <v>66</v>
      </c>
      <c r="C31" s="3" t="s">
        <v>101</v>
      </c>
      <c r="D31" s="3" t="s">
        <v>98</v>
      </c>
      <c r="E31" s="3" t="s">
        <v>22</v>
      </c>
      <c r="F31" s="3" t="s">
        <v>125</v>
      </c>
      <c r="G31" s="3" t="s">
        <v>126</v>
      </c>
      <c r="H31" s="3" t="s">
        <v>23</v>
      </c>
      <c r="I31" s="3" t="s">
        <v>23</v>
      </c>
      <c r="J31" s="4" t="s">
        <v>67</v>
      </c>
      <c r="K31" s="4" t="s">
        <v>68</v>
      </c>
      <c r="L31" s="4" t="s">
        <v>9</v>
      </c>
      <c r="M31" s="4" t="s">
        <v>9</v>
      </c>
      <c r="N31" s="4">
        <v>0.08</v>
      </c>
      <c r="O31" s="4">
        <v>0.06</v>
      </c>
      <c r="P31" s="4">
        <v>0.08</v>
      </c>
      <c r="Q31" s="4">
        <v>0.06</v>
      </c>
      <c r="R31" s="4">
        <f>(1.26*12)/1000</f>
        <v>1.5120000000000001E-2</v>
      </c>
      <c r="S31" s="4">
        <f>(3.24*12)/1000</f>
        <v>3.8880000000000005E-2</v>
      </c>
      <c r="T31" s="3" t="s">
        <v>164</v>
      </c>
      <c r="U31" s="3">
        <v>15.12</v>
      </c>
      <c r="V31" s="3">
        <v>39</v>
      </c>
      <c r="W31" s="3">
        <v>15.12</v>
      </c>
      <c r="X31" s="3">
        <v>18.14</v>
      </c>
      <c r="Y31" s="3">
        <v>19.940000000000001</v>
      </c>
      <c r="Z31" s="3">
        <v>21.91</v>
      </c>
      <c r="AA31" s="3">
        <v>24.1</v>
      </c>
      <c r="AB31" s="3">
        <v>39</v>
      </c>
      <c r="AC31" s="3">
        <v>46.8</v>
      </c>
      <c r="AD31" s="3">
        <v>51.48</v>
      </c>
      <c r="AE31" s="3">
        <v>56.63</v>
      </c>
      <c r="AF31" s="3">
        <v>62.3</v>
      </c>
      <c r="AG31" s="3">
        <v>5</v>
      </c>
      <c r="AH31" s="3">
        <v>5</v>
      </c>
      <c r="AI31" s="3">
        <v>5</v>
      </c>
      <c r="AJ31" s="3">
        <v>5</v>
      </c>
      <c r="AK31" s="3">
        <v>5</v>
      </c>
      <c r="AL31" s="4">
        <f t="shared" ref="AL31" si="80">SUM(AG31:AK31)</f>
        <v>25</v>
      </c>
      <c r="AM31" s="4">
        <f t="shared" ref="AM31" si="81">(AL31/25)*100</f>
        <v>100</v>
      </c>
      <c r="AN31" s="70" t="s">
        <v>236</v>
      </c>
      <c r="AO31" s="3"/>
      <c r="AP31" s="3"/>
      <c r="AQ31" s="3" t="s">
        <v>324</v>
      </c>
      <c r="AR31" s="18">
        <f t="shared" ref="AR31:AS34" si="82">U31</f>
        <v>15.12</v>
      </c>
      <c r="AS31" s="18">
        <f t="shared" si="82"/>
        <v>39</v>
      </c>
      <c r="AT31" s="71">
        <f>AZ31</f>
        <v>24.1</v>
      </c>
      <c r="AU31" s="18">
        <f>BE31</f>
        <v>62.3</v>
      </c>
      <c r="AV31" s="18">
        <f>W31</f>
        <v>15.12</v>
      </c>
      <c r="AW31" s="18">
        <f t="shared" ref="AW31" si="83">X31</f>
        <v>18.14</v>
      </c>
      <c r="AX31" s="18">
        <f t="shared" ref="AX31" si="84">Y31</f>
        <v>19.940000000000001</v>
      </c>
      <c r="AY31" s="18">
        <f t="shared" ref="AY31" si="85">Z31</f>
        <v>21.91</v>
      </c>
      <c r="AZ31" s="18">
        <f t="shared" ref="AZ31" si="86">AA31</f>
        <v>24.1</v>
      </c>
      <c r="BA31" s="18">
        <f t="shared" ref="BA31" si="87">AB31</f>
        <v>39</v>
      </c>
      <c r="BB31" s="18">
        <f t="shared" ref="BB31" si="88">AC31</f>
        <v>46.8</v>
      </c>
      <c r="BC31" s="18">
        <f t="shared" ref="BC31" si="89">AD31</f>
        <v>51.48</v>
      </c>
      <c r="BD31" s="18">
        <f t="shared" ref="BD31" si="90">AE31</f>
        <v>56.63</v>
      </c>
      <c r="BE31" s="18">
        <f t="shared" ref="BE31" si="91">AF31</f>
        <v>62.3</v>
      </c>
      <c r="BF31" s="15" t="s">
        <v>166</v>
      </c>
      <c r="BG31" s="15" t="s">
        <v>166</v>
      </c>
      <c r="BH31" s="15" t="s">
        <v>166</v>
      </c>
      <c r="BI31" s="15" t="s">
        <v>166</v>
      </c>
      <c r="BJ31" s="15" t="s">
        <v>166</v>
      </c>
    </row>
    <row r="32" spans="2:62" ht="38.25" x14ac:dyDescent="0.25">
      <c r="B32" s="3" t="s">
        <v>69</v>
      </c>
      <c r="C32" s="3" t="s">
        <v>101</v>
      </c>
      <c r="D32" s="3" t="s">
        <v>98</v>
      </c>
      <c r="E32" s="3" t="s">
        <v>22</v>
      </c>
      <c r="F32" s="3" t="s">
        <v>125</v>
      </c>
      <c r="G32" s="3" t="s">
        <v>126</v>
      </c>
      <c r="H32" s="3" t="s">
        <v>23</v>
      </c>
      <c r="I32" s="3" t="s">
        <v>23</v>
      </c>
      <c r="J32" s="4">
        <v>8522</v>
      </c>
      <c r="K32" s="4">
        <v>8775</v>
      </c>
      <c r="L32" s="4" t="s">
        <v>21</v>
      </c>
      <c r="M32" s="4" t="s">
        <v>21</v>
      </c>
      <c r="N32" s="4" t="s">
        <v>70</v>
      </c>
      <c r="O32" s="4" t="s">
        <v>71</v>
      </c>
      <c r="P32" s="4">
        <v>7.18</v>
      </c>
      <c r="Q32" s="4">
        <v>7.39</v>
      </c>
      <c r="R32" s="4">
        <f>10392/1000</f>
        <v>10.391999999999999</v>
      </c>
      <c r="S32" s="4">
        <f>2775/1000</f>
        <v>2.7749999999999999</v>
      </c>
      <c r="T32" s="3" t="s">
        <v>164</v>
      </c>
      <c r="U32" s="3">
        <v>7180</v>
      </c>
      <c r="V32" s="3">
        <v>7390</v>
      </c>
      <c r="W32" s="3">
        <v>6462</v>
      </c>
      <c r="X32" s="3">
        <v>5815</v>
      </c>
      <c r="Y32" s="3">
        <v>5234</v>
      </c>
      <c r="Z32" s="3">
        <v>4710</v>
      </c>
      <c r="AA32" s="3">
        <v>4239</v>
      </c>
      <c r="AB32" s="3">
        <v>6641</v>
      </c>
      <c r="AC32" s="3">
        <v>5985</v>
      </c>
      <c r="AD32" s="3">
        <v>5387</v>
      </c>
      <c r="AE32" s="3">
        <v>4848</v>
      </c>
      <c r="AF32" s="3">
        <v>4363</v>
      </c>
      <c r="AG32" s="3">
        <v>5</v>
      </c>
      <c r="AH32" s="3">
        <v>5</v>
      </c>
      <c r="AI32" s="3">
        <v>5</v>
      </c>
      <c r="AJ32" s="3">
        <v>5</v>
      </c>
      <c r="AK32" s="3">
        <v>5</v>
      </c>
      <c r="AL32" s="4">
        <f t="shared" ref="AL32:AL33" si="92">SUM(AG32:AK32)</f>
        <v>25</v>
      </c>
      <c r="AM32" s="4">
        <f t="shared" ref="AM32:AM33" si="93">(AL32/25)*100</f>
        <v>100</v>
      </c>
      <c r="AN32" s="70" t="s">
        <v>236</v>
      </c>
      <c r="AO32" s="3"/>
      <c r="AP32" s="3"/>
      <c r="AQ32" s="3" t="s">
        <v>325</v>
      </c>
      <c r="AR32" s="18">
        <f t="shared" si="82"/>
        <v>7180</v>
      </c>
      <c r="AS32" s="18">
        <f t="shared" si="82"/>
        <v>7390</v>
      </c>
      <c r="AT32" s="78">
        <f>AZ32</f>
        <v>4239</v>
      </c>
      <c r="AU32" s="18">
        <f>BE32</f>
        <v>4363</v>
      </c>
      <c r="AV32" s="18">
        <f>W32</f>
        <v>6462</v>
      </c>
      <c r="AW32" s="18">
        <f t="shared" ref="AW32:AW33" si="94">X32</f>
        <v>5815</v>
      </c>
      <c r="AX32" s="18">
        <f t="shared" ref="AX32:AX33" si="95">Y32</f>
        <v>5234</v>
      </c>
      <c r="AY32" s="18">
        <f t="shared" ref="AY32:AY33" si="96">Z32</f>
        <v>4710</v>
      </c>
      <c r="AZ32" s="18">
        <f t="shared" ref="AZ32:AZ33" si="97">AA32</f>
        <v>4239</v>
      </c>
      <c r="BA32" s="18">
        <f t="shared" ref="BA32:BA33" si="98">AB32</f>
        <v>6641</v>
      </c>
      <c r="BB32" s="18">
        <f t="shared" ref="BB32:BB33" si="99">AC32</f>
        <v>5985</v>
      </c>
      <c r="BC32" s="18">
        <f t="shared" ref="BC32:BC33" si="100">AD32</f>
        <v>5387</v>
      </c>
      <c r="BD32" s="18">
        <f t="shared" ref="BD32:BD33" si="101">AE32</f>
        <v>4848</v>
      </c>
      <c r="BE32" s="18">
        <f t="shared" ref="BE32:BE33" si="102">AF32</f>
        <v>4363</v>
      </c>
      <c r="BF32" s="15" t="s">
        <v>166</v>
      </c>
      <c r="BG32" s="15" t="s">
        <v>166</v>
      </c>
      <c r="BH32" s="15" t="s">
        <v>166</v>
      </c>
      <c r="BI32" s="15" t="s">
        <v>166</v>
      </c>
      <c r="BJ32" s="15" t="s">
        <v>166</v>
      </c>
    </row>
    <row r="33" spans="2:62" ht="25.5" x14ac:dyDescent="0.25">
      <c r="B33" s="3" t="s">
        <v>72</v>
      </c>
      <c r="C33" s="3" t="s">
        <v>104</v>
      </c>
      <c r="D33" s="3" t="s">
        <v>98</v>
      </c>
      <c r="E33" s="3" t="s">
        <v>22</v>
      </c>
      <c r="F33" s="3" t="s">
        <v>119</v>
      </c>
      <c r="G33" s="3" t="s">
        <v>120</v>
      </c>
      <c r="H33" s="3" t="s">
        <v>23</v>
      </c>
      <c r="I33" s="3" t="s">
        <v>23</v>
      </c>
      <c r="J33" s="4" t="s">
        <v>75</v>
      </c>
      <c r="K33" s="4">
        <v>4140</v>
      </c>
      <c r="L33" s="4" t="s">
        <v>9</v>
      </c>
      <c r="M33" s="4" t="s">
        <v>9</v>
      </c>
      <c r="N33" s="4" t="s">
        <v>73</v>
      </c>
      <c r="O33" s="4" t="s">
        <v>74</v>
      </c>
      <c r="P33" s="4">
        <v>0.47</v>
      </c>
      <c r="Q33" s="4">
        <v>4.1399999999999997</v>
      </c>
      <c r="R33" s="26" t="s">
        <v>171</v>
      </c>
      <c r="S33" s="26" t="s">
        <v>171</v>
      </c>
      <c r="T33" s="3" t="s">
        <v>164</v>
      </c>
      <c r="U33" s="3">
        <v>1595.1</v>
      </c>
      <c r="V33" s="3">
        <v>5288.9</v>
      </c>
      <c r="W33" s="3">
        <v>1595.1</v>
      </c>
      <c r="X33" s="3">
        <v>1595.1</v>
      </c>
      <c r="Y33" s="3">
        <v>1595.1</v>
      </c>
      <c r="Z33" s="3">
        <v>1355.8</v>
      </c>
      <c r="AA33" s="3">
        <v>1116.5999999999999</v>
      </c>
      <c r="AB33" s="3">
        <v>5288.9</v>
      </c>
      <c r="AC33" s="3">
        <v>5288.9</v>
      </c>
      <c r="AD33" s="3">
        <v>5288.9</v>
      </c>
      <c r="AE33" s="3">
        <v>4495</v>
      </c>
      <c r="AF33" s="3">
        <v>3702.2</v>
      </c>
      <c r="AG33" s="3">
        <v>5</v>
      </c>
      <c r="AH33" s="3">
        <v>5</v>
      </c>
      <c r="AI33" s="3">
        <v>5</v>
      </c>
      <c r="AJ33" s="3">
        <v>5</v>
      </c>
      <c r="AK33" s="3">
        <v>5</v>
      </c>
      <c r="AL33" s="4">
        <f t="shared" si="92"/>
        <v>25</v>
      </c>
      <c r="AM33" s="4">
        <f t="shared" si="93"/>
        <v>100</v>
      </c>
      <c r="AN33" s="70" t="s">
        <v>236</v>
      </c>
      <c r="AO33" s="3"/>
      <c r="AP33" s="3"/>
      <c r="AQ33" s="3" t="s">
        <v>327</v>
      </c>
      <c r="AR33" s="18">
        <f t="shared" si="82"/>
        <v>1595.1</v>
      </c>
      <c r="AS33" s="18">
        <f t="shared" si="82"/>
        <v>5288.9</v>
      </c>
      <c r="AT33" s="78">
        <f>AZ33</f>
        <v>1116.5999999999999</v>
      </c>
      <c r="AU33" s="18">
        <f>BE33</f>
        <v>3702.2</v>
      </c>
      <c r="AV33" s="18">
        <f>W33</f>
        <v>1595.1</v>
      </c>
      <c r="AW33" s="18">
        <f t="shared" si="94"/>
        <v>1595.1</v>
      </c>
      <c r="AX33" s="18">
        <f t="shared" si="95"/>
        <v>1595.1</v>
      </c>
      <c r="AY33" s="18">
        <f t="shared" si="96"/>
        <v>1355.8</v>
      </c>
      <c r="AZ33" s="18">
        <f t="shared" si="97"/>
        <v>1116.5999999999999</v>
      </c>
      <c r="BA33" s="18">
        <f t="shared" si="98"/>
        <v>5288.9</v>
      </c>
      <c r="BB33" s="18">
        <f t="shared" si="99"/>
        <v>5288.9</v>
      </c>
      <c r="BC33" s="18">
        <f t="shared" si="100"/>
        <v>5288.9</v>
      </c>
      <c r="BD33" s="18">
        <f t="shared" si="101"/>
        <v>4495</v>
      </c>
      <c r="BE33" s="18">
        <f t="shared" si="102"/>
        <v>3702.2</v>
      </c>
      <c r="BF33" s="15" t="s">
        <v>166</v>
      </c>
      <c r="BG33" s="15" t="s">
        <v>166</v>
      </c>
      <c r="BH33" s="15" t="s">
        <v>166</v>
      </c>
      <c r="BI33" s="15" t="s">
        <v>166</v>
      </c>
      <c r="BJ33" s="15" t="s">
        <v>166</v>
      </c>
    </row>
    <row r="34" spans="2:62" ht="32.25" customHeight="1" x14ac:dyDescent="0.25">
      <c r="B34" s="3" t="s">
        <v>76</v>
      </c>
      <c r="C34" s="3" t="s">
        <v>101</v>
      </c>
      <c r="D34" s="3" t="s">
        <v>98</v>
      </c>
      <c r="E34" s="3" t="s">
        <v>22</v>
      </c>
      <c r="F34" s="3" t="s">
        <v>123</v>
      </c>
      <c r="G34" s="3" t="s">
        <v>124</v>
      </c>
      <c r="H34" s="3" t="s">
        <v>23</v>
      </c>
      <c r="I34" s="3" t="s">
        <v>23</v>
      </c>
      <c r="J34" s="4">
        <v>66707</v>
      </c>
      <c r="K34" s="4" t="s">
        <v>77</v>
      </c>
      <c r="L34" s="4" t="s">
        <v>78</v>
      </c>
      <c r="M34" s="4" t="s">
        <v>79</v>
      </c>
      <c r="N34" s="4" t="s">
        <v>78</v>
      </c>
      <c r="O34" s="4" t="s">
        <v>79</v>
      </c>
      <c r="P34" s="4">
        <v>57.46</v>
      </c>
      <c r="Q34" s="4">
        <v>23.96</v>
      </c>
      <c r="R34" s="26" t="s">
        <v>171</v>
      </c>
      <c r="S34" s="26" t="s">
        <v>171</v>
      </c>
      <c r="T34" s="7" t="s">
        <v>164</v>
      </c>
      <c r="U34" s="7">
        <f>57.46*1000</f>
        <v>57460</v>
      </c>
      <c r="V34" s="7">
        <f>23.96*1000</f>
        <v>23960</v>
      </c>
      <c r="W34" s="7">
        <f>35.13*1000</f>
        <v>35130</v>
      </c>
      <c r="X34" s="7">
        <f>32.85*1000</f>
        <v>32850</v>
      </c>
      <c r="Y34" s="7">
        <f>30.47*1000</f>
        <v>30470</v>
      </c>
      <c r="Z34" s="7">
        <f>27.97*1000</f>
        <v>27970</v>
      </c>
      <c r="AA34" s="7">
        <f>25.36*1000</f>
        <v>25360</v>
      </c>
      <c r="AB34" s="7">
        <f>14.65*1000</f>
        <v>14650</v>
      </c>
      <c r="AC34" s="7">
        <f>13.7*1000</f>
        <v>13700</v>
      </c>
      <c r="AD34" s="7">
        <f>12.7*1000</f>
        <v>12700</v>
      </c>
      <c r="AE34" s="7">
        <f>11.66*1000</f>
        <v>11660</v>
      </c>
      <c r="AF34" s="7">
        <f>10.57*1000</f>
        <v>10570</v>
      </c>
      <c r="AG34" s="3">
        <v>5</v>
      </c>
      <c r="AH34" s="3">
        <v>5</v>
      </c>
      <c r="AI34" s="3">
        <v>5</v>
      </c>
      <c r="AJ34" s="3">
        <v>5</v>
      </c>
      <c r="AK34" s="3">
        <v>5</v>
      </c>
      <c r="AL34" s="4">
        <f t="shared" ref="AL34" si="103">SUM(AG34:AK34)</f>
        <v>25</v>
      </c>
      <c r="AM34" s="4">
        <f t="shared" ref="AM34:AM35" si="104">(AL34/25)*100</f>
        <v>100</v>
      </c>
      <c r="AN34" s="70" t="s">
        <v>236</v>
      </c>
      <c r="AO34" s="3"/>
      <c r="AP34" s="3"/>
      <c r="AQ34" s="3" t="s">
        <v>327</v>
      </c>
      <c r="AR34" s="18">
        <f t="shared" si="82"/>
        <v>57460</v>
      </c>
      <c r="AS34" s="18">
        <f t="shared" si="82"/>
        <v>23960</v>
      </c>
      <c r="AT34" s="78">
        <f>AZ34</f>
        <v>25360</v>
      </c>
      <c r="AU34" s="18">
        <f>BE34</f>
        <v>10570</v>
      </c>
      <c r="AV34" s="18">
        <f>W34</f>
        <v>35130</v>
      </c>
      <c r="AW34" s="18">
        <f t="shared" ref="AW34" si="105">X34</f>
        <v>32850</v>
      </c>
      <c r="AX34" s="18">
        <f t="shared" ref="AX34" si="106">Y34</f>
        <v>30470</v>
      </c>
      <c r="AY34" s="18">
        <f t="shared" ref="AY34" si="107">Z34</f>
        <v>27970</v>
      </c>
      <c r="AZ34" s="18">
        <f t="shared" ref="AZ34" si="108">AA34</f>
        <v>25360</v>
      </c>
      <c r="BA34" s="18">
        <f t="shared" ref="BA34" si="109">AB34</f>
        <v>14650</v>
      </c>
      <c r="BB34" s="18">
        <f t="shared" ref="BB34" si="110">AC34</f>
        <v>13700</v>
      </c>
      <c r="BC34" s="18">
        <f t="shared" ref="BC34" si="111">AD34</f>
        <v>12700</v>
      </c>
      <c r="BD34" s="18">
        <f t="shared" ref="BD34" si="112">AE34</f>
        <v>11660</v>
      </c>
      <c r="BE34" s="18">
        <f t="shared" ref="BE34" si="113">AF34</f>
        <v>10570</v>
      </c>
      <c r="BF34" s="15" t="s">
        <v>166</v>
      </c>
      <c r="BG34" s="15" t="s">
        <v>166</v>
      </c>
      <c r="BH34" s="15" t="s">
        <v>166</v>
      </c>
      <c r="BI34" s="15" t="s">
        <v>166</v>
      </c>
      <c r="BJ34" s="15" t="s">
        <v>166</v>
      </c>
    </row>
    <row r="35" spans="2:62" s="9" customFormat="1" ht="120.75" customHeight="1" x14ac:dyDescent="0.25">
      <c r="B35" s="7" t="s">
        <v>127</v>
      </c>
      <c r="C35" s="7" t="s">
        <v>101</v>
      </c>
      <c r="D35" s="7" t="s">
        <v>98</v>
      </c>
      <c r="E35" s="7" t="s">
        <v>22</v>
      </c>
      <c r="F35" s="7" t="s">
        <v>125</v>
      </c>
      <c r="G35" s="3" t="s">
        <v>126</v>
      </c>
      <c r="H35" s="7" t="s">
        <v>23</v>
      </c>
      <c r="I35" s="7" t="s">
        <v>23</v>
      </c>
      <c r="J35" s="8" t="s">
        <v>81</v>
      </c>
      <c r="K35" s="8" t="s">
        <v>82</v>
      </c>
      <c r="L35" s="8" t="s">
        <v>81</v>
      </c>
      <c r="M35" s="8" t="s">
        <v>82</v>
      </c>
      <c r="N35" s="8" t="s">
        <v>81</v>
      </c>
      <c r="O35" s="8" t="s">
        <v>82</v>
      </c>
      <c r="P35" s="8">
        <v>0.72</v>
      </c>
      <c r="Q35" s="8">
        <v>290.2</v>
      </c>
      <c r="R35" s="14">
        <f>(3193.442952)/1000</f>
        <v>3.1934429519999998</v>
      </c>
      <c r="S35" s="14">
        <f>(160846.509)/1000</f>
        <v>160.846509</v>
      </c>
      <c r="T35" s="7" t="s">
        <v>164</v>
      </c>
      <c r="U35" s="7">
        <v>1301</v>
      </c>
      <c r="V35" s="7">
        <v>223944</v>
      </c>
      <c r="W35" s="7">
        <v>1316</v>
      </c>
      <c r="X35" s="7">
        <v>1329</v>
      </c>
      <c r="Y35" s="7">
        <v>1343</v>
      </c>
      <c r="Z35" s="7">
        <v>1356</v>
      </c>
      <c r="AA35" s="7">
        <v>1370</v>
      </c>
      <c r="AB35" s="7">
        <v>227324</v>
      </c>
      <c r="AC35" s="7">
        <v>229597</v>
      </c>
      <c r="AD35" s="7">
        <v>231893</v>
      </c>
      <c r="AE35" s="7">
        <v>234212</v>
      </c>
      <c r="AF35" s="7">
        <v>236554</v>
      </c>
      <c r="AG35" s="3">
        <v>5</v>
      </c>
      <c r="AH35" s="3">
        <v>1</v>
      </c>
      <c r="AI35" s="3">
        <v>0</v>
      </c>
      <c r="AJ35" s="3">
        <v>5</v>
      </c>
      <c r="AK35" s="3">
        <v>5</v>
      </c>
      <c r="AL35" s="4">
        <f t="shared" ref="AL35" si="114">SUM(AG35:AK35)</f>
        <v>16</v>
      </c>
      <c r="AM35" s="4">
        <f t="shared" si="104"/>
        <v>64</v>
      </c>
      <c r="AN35" s="15"/>
      <c r="AO35" s="68" t="s">
        <v>236</v>
      </c>
      <c r="AP35" s="15"/>
      <c r="AQ35" s="3" t="s">
        <v>334</v>
      </c>
      <c r="AR35" s="69">
        <f>R35*1000</f>
        <v>3193.4429519999999</v>
      </c>
      <c r="AS35" s="69">
        <f>S35*1000</f>
        <v>160846.50899999999</v>
      </c>
      <c r="AT35" s="3">
        <f>AZ35</f>
        <v>3356.3406369730119</v>
      </c>
      <c r="AU35" s="3">
        <f>BE35</f>
        <v>169051.29748250009</v>
      </c>
      <c r="AV35" s="69">
        <f>AR35+(AR35*0.01)</f>
        <v>3225.3773815199997</v>
      </c>
      <c r="AW35" s="69">
        <f>AV35+(AV35*0.01)</f>
        <v>3257.6311553351998</v>
      </c>
      <c r="AX35" s="69">
        <f t="shared" ref="AX35:AZ35" si="115">AW35+(AW35*0.01)</f>
        <v>3290.2074668885516</v>
      </c>
      <c r="AY35" s="69">
        <f t="shared" si="115"/>
        <v>3323.1095415574373</v>
      </c>
      <c r="AZ35" s="69">
        <f t="shared" si="115"/>
        <v>3356.3406369730119</v>
      </c>
      <c r="BA35" s="69">
        <f>AS35+(AS35*0.01)</f>
        <v>162454.97409</v>
      </c>
      <c r="BB35" s="69">
        <f>BA35+(BA35*0.01)</f>
        <v>164079.5238309</v>
      </c>
      <c r="BC35" s="69">
        <f t="shared" ref="BC35:BE35" si="116">BB35+(BB35*0.01)</f>
        <v>165720.31906920898</v>
      </c>
      <c r="BD35" s="69">
        <f t="shared" si="116"/>
        <v>167377.52225990107</v>
      </c>
      <c r="BE35" s="69">
        <f t="shared" si="116"/>
        <v>169051.29748250009</v>
      </c>
      <c r="BF35" s="15" t="s">
        <v>167</v>
      </c>
      <c r="BG35" s="15" t="s">
        <v>167</v>
      </c>
      <c r="BH35" s="15" t="s">
        <v>167</v>
      </c>
      <c r="BI35" s="15" t="s">
        <v>167</v>
      </c>
      <c r="BJ35" s="15" t="s">
        <v>167</v>
      </c>
    </row>
    <row r="36" spans="2:62" ht="63.75" x14ac:dyDescent="0.25">
      <c r="B36" s="3" t="s">
        <v>136</v>
      </c>
      <c r="C36" s="3" t="s">
        <v>104</v>
      </c>
      <c r="D36" s="3" t="s">
        <v>98</v>
      </c>
      <c r="E36" s="3" t="s">
        <v>22</v>
      </c>
      <c r="F36" s="3" t="s">
        <v>130</v>
      </c>
      <c r="G36" s="3" t="s">
        <v>131</v>
      </c>
      <c r="H36" s="3" t="s">
        <v>23</v>
      </c>
      <c r="I36" s="3" t="s">
        <v>23</v>
      </c>
      <c r="J36" s="4">
        <v>114.471</v>
      </c>
      <c r="K36" s="4">
        <v>143.089</v>
      </c>
      <c r="L36" s="4" t="s">
        <v>9</v>
      </c>
      <c r="M36" s="4" t="s">
        <v>9</v>
      </c>
      <c r="N36" s="4">
        <v>114.471</v>
      </c>
      <c r="O36" s="4">
        <v>143.089</v>
      </c>
      <c r="P36" s="4">
        <v>103.68</v>
      </c>
      <c r="Q36" s="4">
        <v>129.6</v>
      </c>
      <c r="R36" s="26" t="s">
        <v>171</v>
      </c>
      <c r="S36" s="26" t="s">
        <v>171</v>
      </c>
      <c r="T36" s="3" t="s">
        <v>160</v>
      </c>
      <c r="U36" s="15" t="s">
        <v>166</v>
      </c>
      <c r="V36" s="15" t="s">
        <v>166</v>
      </c>
      <c r="W36" s="15" t="s">
        <v>166</v>
      </c>
      <c r="X36" s="15" t="s">
        <v>166</v>
      </c>
      <c r="Y36" s="15" t="s">
        <v>166</v>
      </c>
      <c r="Z36" s="15" t="s">
        <v>166</v>
      </c>
      <c r="AA36" s="15" t="s">
        <v>166</v>
      </c>
      <c r="AB36" s="15" t="s">
        <v>166</v>
      </c>
      <c r="AC36" s="15" t="s">
        <v>166</v>
      </c>
      <c r="AD36" s="15" t="s">
        <v>166</v>
      </c>
      <c r="AE36" s="15" t="s">
        <v>166</v>
      </c>
      <c r="AF36" s="15" t="s">
        <v>166</v>
      </c>
      <c r="AG36" s="15" t="s">
        <v>166</v>
      </c>
      <c r="AH36" s="15" t="s">
        <v>166</v>
      </c>
      <c r="AI36" s="15" t="s">
        <v>166</v>
      </c>
      <c r="AJ36" s="15" t="s">
        <v>166</v>
      </c>
      <c r="AK36" s="15" t="s">
        <v>166</v>
      </c>
      <c r="AL36" s="15" t="s">
        <v>166</v>
      </c>
      <c r="AM36" s="15" t="s">
        <v>166</v>
      </c>
      <c r="AN36" s="15" t="s">
        <v>166</v>
      </c>
      <c r="AO36" s="15" t="s">
        <v>166</v>
      </c>
      <c r="AP36" s="15" t="s">
        <v>166</v>
      </c>
      <c r="AQ36" s="7" t="s">
        <v>326</v>
      </c>
      <c r="AR36" s="18">
        <f>P36*1000</f>
        <v>103680</v>
      </c>
      <c r="AS36" s="18">
        <f>Q36*1000</f>
        <v>129600</v>
      </c>
      <c r="AT36" s="18">
        <f>+N36*1000</f>
        <v>114471</v>
      </c>
      <c r="AU36" s="18">
        <f>+O36*1000</f>
        <v>143089</v>
      </c>
      <c r="AV36" s="18">
        <f>+AR36</f>
        <v>103680</v>
      </c>
      <c r="AW36" s="18">
        <f>AV36</f>
        <v>103680</v>
      </c>
      <c r="AX36" s="18">
        <f t="shared" ref="AX36" si="117">AW36</f>
        <v>103680</v>
      </c>
      <c r="AY36" s="18">
        <f t="shared" ref="AY36" si="118">AX36</f>
        <v>103680</v>
      </c>
      <c r="AZ36" s="18">
        <f>+AT36</f>
        <v>114471</v>
      </c>
      <c r="BA36" s="18">
        <f>AS36</f>
        <v>129600</v>
      </c>
      <c r="BB36" s="18">
        <f>BA36</f>
        <v>129600</v>
      </c>
      <c r="BC36" s="18">
        <f t="shared" ref="BC36" si="119">BB36</f>
        <v>129600</v>
      </c>
      <c r="BD36" s="18">
        <f t="shared" ref="BD36" si="120">BC36</f>
        <v>129600</v>
      </c>
      <c r="BE36" s="18">
        <f>+AU36</f>
        <v>143089</v>
      </c>
      <c r="BF36" s="86">
        <v>0</v>
      </c>
      <c r="BG36" s="86">
        <v>0</v>
      </c>
      <c r="BH36" s="86">
        <v>0</v>
      </c>
      <c r="BI36" s="86">
        <v>0</v>
      </c>
      <c r="BJ36" s="86">
        <v>0</v>
      </c>
    </row>
    <row r="37" spans="2:62" s="9" customFormat="1" ht="63.75" x14ac:dyDescent="0.25">
      <c r="B37" s="7" t="s">
        <v>85</v>
      </c>
      <c r="C37" s="7" t="s">
        <v>101</v>
      </c>
      <c r="D37" s="7" t="s">
        <v>83</v>
      </c>
      <c r="E37" s="10" t="s">
        <v>84</v>
      </c>
      <c r="F37" s="10" t="s">
        <v>112</v>
      </c>
      <c r="G37" s="6" t="s">
        <v>109</v>
      </c>
      <c r="H37" s="7" t="s">
        <v>11</v>
      </c>
      <c r="I37" s="7" t="s">
        <v>11</v>
      </c>
      <c r="J37" s="8" t="s">
        <v>86</v>
      </c>
      <c r="K37" s="8" t="s">
        <v>47</v>
      </c>
      <c r="L37" s="8" t="s">
        <v>9</v>
      </c>
      <c r="M37" s="8" t="s">
        <v>9</v>
      </c>
      <c r="N37" s="8">
        <v>0.02</v>
      </c>
      <c r="O37" s="8">
        <v>0.17</v>
      </c>
      <c r="P37" s="8">
        <v>2.4E-2</v>
      </c>
      <c r="Q37" s="8">
        <v>0.17</v>
      </c>
      <c r="R37" s="26" t="s">
        <v>171</v>
      </c>
      <c r="S37" s="26" t="s">
        <v>171</v>
      </c>
      <c r="T37" s="3" t="s">
        <v>160</v>
      </c>
      <c r="U37" s="15" t="s">
        <v>166</v>
      </c>
      <c r="V37" s="15" t="s">
        <v>166</v>
      </c>
      <c r="W37" s="15" t="s">
        <v>166</v>
      </c>
      <c r="X37" s="15" t="s">
        <v>166</v>
      </c>
      <c r="Y37" s="15" t="s">
        <v>166</v>
      </c>
      <c r="Z37" s="15" t="s">
        <v>166</v>
      </c>
      <c r="AA37" s="15" t="s">
        <v>166</v>
      </c>
      <c r="AB37" s="15" t="s">
        <v>166</v>
      </c>
      <c r="AC37" s="15" t="s">
        <v>166</v>
      </c>
      <c r="AD37" s="15" t="s">
        <v>166</v>
      </c>
      <c r="AE37" s="15" t="s">
        <v>166</v>
      </c>
      <c r="AF37" s="15" t="s">
        <v>166</v>
      </c>
      <c r="AG37" s="15" t="s">
        <v>166</v>
      </c>
      <c r="AH37" s="15" t="s">
        <v>166</v>
      </c>
      <c r="AI37" s="15" t="s">
        <v>166</v>
      </c>
      <c r="AJ37" s="15" t="s">
        <v>166</v>
      </c>
      <c r="AK37" s="15" t="s">
        <v>166</v>
      </c>
      <c r="AL37" s="15" t="s">
        <v>166</v>
      </c>
      <c r="AM37" s="15" t="s">
        <v>166</v>
      </c>
      <c r="AN37" s="15" t="s">
        <v>166</v>
      </c>
      <c r="AO37" s="15" t="s">
        <v>166</v>
      </c>
      <c r="AP37" s="15" t="s">
        <v>166</v>
      </c>
      <c r="AQ37" s="7" t="s">
        <v>328</v>
      </c>
      <c r="AR37" s="18">
        <f>P37*1000</f>
        <v>24</v>
      </c>
      <c r="AS37" s="18">
        <f>Q37*1000</f>
        <v>170</v>
      </c>
      <c r="AT37" s="18">
        <f>+N37*1000</f>
        <v>20</v>
      </c>
      <c r="AU37" s="18">
        <f>+O37*1000</f>
        <v>170</v>
      </c>
      <c r="AV37" s="18">
        <f>+AR37</f>
        <v>24</v>
      </c>
      <c r="AW37" s="18">
        <f>AV37</f>
        <v>24</v>
      </c>
      <c r="AX37" s="18">
        <f t="shared" ref="AX37" si="121">AW37</f>
        <v>24</v>
      </c>
      <c r="AY37" s="18">
        <f t="shared" ref="AY37" si="122">AX37</f>
        <v>24</v>
      </c>
      <c r="AZ37" s="18">
        <f>+AT37</f>
        <v>20</v>
      </c>
      <c r="BA37" s="18">
        <f>AS37</f>
        <v>170</v>
      </c>
      <c r="BB37" s="18">
        <f>BA37</f>
        <v>170</v>
      </c>
      <c r="BC37" s="18">
        <f t="shared" ref="BC37" si="123">BB37</f>
        <v>170</v>
      </c>
      <c r="BD37" s="18">
        <f t="shared" ref="BD37" si="124">BC37</f>
        <v>170</v>
      </c>
      <c r="BE37" s="18">
        <f>+AU37</f>
        <v>170</v>
      </c>
      <c r="BF37" s="86">
        <v>0</v>
      </c>
      <c r="BG37" s="86">
        <v>0</v>
      </c>
      <c r="BH37" s="86">
        <v>0</v>
      </c>
      <c r="BI37" s="86">
        <v>0</v>
      </c>
      <c r="BJ37" s="86">
        <v>0</v>
      </c>
    </row>
    <row r="38" spans="2:62" s="9" customFormat="1" ht="25.5" x14ac:dyDescent="0.25">
      <c r="B38" s="12" t="s">
        <v>87</v>
      </c>
      <c r="C38" s="7" t="s">
        <v>103</v>
      </c>
      <c r="D38" s="7" t="s">
        <v>83</v>
      </c>
      <c r="E38" s="10" t="s">
        <v>84</v>
      </c>
      <c r="F38" s="10" t="s">
        <v>112</v>
      </c>
      <c r="G38" s="10" t="s">
        <v>109</v>
      </c>
      <c r="H38" s="7" t="s">
        <v>11</v>
      </c>
      <c r="I38" s="7" t="s">
        <v>11</v>
      </c>
      <c r="J38" s="8" t="s">
        <v>88</v>
      </c>
      <c r="K38" s="8" t="s">
        <v>88</v>
      </c>
      <c r="L38" s="8" t="s">
        <v>88</v>
      </c>
      <c r="M38" s="8" t="s">
        <v>88</v>
      </c>
      <c r="N38" s="8" t="s">
        <v>88</v>
      </c>
      <c r="O38" s="8" t="s">
        <v>88</v>
      </c>
      <c r="P38" s="8">
        <v>3.36</v>
      </c>
      <c r="Q38" s="8">
        <v>2.85</v>
      </c>
      <c r="R38" s="85" t="s">
        <v>171</v>
      </c>
      <c r="S38" s="85" t="s">
        <v>171</v>
      </c>
      <c r="T38" s="7" t="s">
        <v>164</v>
      </c>
      <c r="U38" s="7">
        <v>364.4</v>
      </c>
      <c r="V38" s="7">
        <v>697.7</v>
      </c>
      <c r="W38" s="7">
        <v>412.5</v>
      </c>
      <c r="X38" s="7">
        <v>859.4</v>
      </c>
      <c r="Y38" s="7">
        <v>859.4</v>
      </c>
      <c r="Z38" s="7">
        <v>859.4</v>
      </c>
      <c r="AA38" s="7">
        <v>1430</v>
      </c>
      <c r="AB38" s="7">
        <v>789</v>
      </c>
      <c r="AC38" s="7">
        <v>1643.8</v>
      </c>
      <c r="AD38" s="7">
        <v>1643.8</v>
      </c>
      <c r="AE38" s="7">
        <v>1643.8</v>
      </c>
      <c r="AF38" s="7">
        <v>2735.3</v>
      </c>
      <c r="AG38" s="15" t="s">
        <v>166</v>
      </c>
      <c r="AH38" s="15" t="s">
        <v>166</v>
      </c>
      <c r="AI38" s="15" t="s">
        <v>166</v>
      </c>
      <c r="AJ38" s="15" t="s">
        <v>166</v>
      </c>
      <c r="AK38" s="15" t="s">
        <v>166</v>
      </c>
      <c r="AL38" s="15" t="s">
        <v>166</v>
      </c>
      <c r="AM38" s="15" t="s">
        <v>166</v>
      </c>
      <c r="AN38" s="15" t="s">
        <v>166</v>
      </c>
      <c r="AO38" s="15" t="s">
        <v>166</v>
      </c>
      <c r="AP38" s="15" t="s">
        <v>166</v>
      </c>
      <c r="AQ38" s="7" t="s">
        <v>329</v>
      </c>
      <c r="AR38" s="81" t="s">
        <v>166</v>
      </c>
      <c r="AS38" s="81" t="s">
        <v>166</v>
      </c>
      <c r="AT38" s="81" t="s">
        <v>166</v>
      </c>
      <c r="AU38" s="81" t="s">
        <v>166</v>
      </c>
      <c r="AV38" s="81" t="s">
        <v>166</v>
      </c>
      <c r="AW38" s="81" t="s">
        <v>166</v>
      </c>
      <c r="AX38" s="81" t="s">
        <v>166</v>
      </c>
      <c r="AY38" s="81" t="s">
        <v>166</v>
      </c>
      <c r="AZ38" s="81" t="s">
        <v>166</v>
      </c>
      <c r="BA38" s="81" t="s">
        <v>166</v>
      </c>
      <c r="BB38" s="81" t="s">
        <v>166</v>
      </c>
      <c r="BC38" s="81" t="s">
        <v>166</v>
      </c>
      <c r="BD38" s="81" t="s">
        <v>166</v>
      </c>
      <c r="BE38" s="81" t="s">
        <v>166</v>
      </c>
      <c r="BF38" s="81" t="s">
        <v>166</v>
      </c>
      <c r="BG38" s="81" t="s">
        <v>166</v>
      </c>
      <c r="BH38" s="81" t="s">
        <v>166</v>
      </c>
      <c r="BI38" s="81" t="s">
        <v>166</v>
      </c>
      <c r="BJ38" s="81" t="s">
        <v>166</v>
      </c>
    </row>
    <row r="39" spans="2:62" s="9" customFormat="1" ht="102" x14ac:dyDescent="0.25">
      <c r="B39" s="7" t="s">
        <v>309</v>
      </c>
      <c r="C39" s="3" t="s">
        <v>101</v>
      </c>
      <c r="D39" s="3" t="s">
        <v>98</v>
      </c>
      <c r="E39" s="3" t="s">
        <v>22</v>
      </c>
      <c r="F39" s="7" t="s">
        <v>125</v>
      </c>
      <c r="G39" s="3" t="s">
        <v>126</v>
      </c>
      <c r="H39" s="7" t="s">
        <v>23</v>
      </c>
      <c r="I39" s="7" t="s">
        <v>23</v>
      </c>
      <c r="J39" s="72">
        <v>6155.29</v>
      </c>
      <c r="K39" s="72">
        <v>4156.9799999999996</v>
      </c>
      <c r="L39" s="72">
        <v>8601.9599999999991</v>
      </c>
      <c r="M39" s="72">
        <v>5043.38</v>
      </c>
      <c r="N39" s="72">
        <v>6155.29</v>
      </c>
      <c r="O39" s="72">
        <v>4156.9799999999996</v>
      </c>
      <c r="P39" s="72">
        <v>6003.69</v>
      </c>
      <c r="Q39" s="72">
        <v>4054.6</v>
      </c>
      <c r="R39" s="73" t="s">
        <v>171</v>
      </c>
      <c r="S39" s="73" t="s">
        <v>171</v>
      </c>
      <c r="T39" s="3" t="s">
        <v>160</v>
      </c>
      <c r="U39" s="26" t="s">
        <v>171</v>
      </c>
      <c r="V39" s="26" t="s">
        <v>171</v>
      </c>
      <c r="W39" s="26" t="s">
        <v>171</v>
      </c>
      <c r="X39" s="26" t="s">
        <v>171</v>
      </c>
      <c r="Y39" s="26" t="s">
        <v>171</v>
      </c>
      <c r="Z39" s="26" t="s">
        <v>171</v>
      </c>
      <c r="AA39" s="26" t="s">
        <v>171</v>
      </c>
      <c r="AB39" s="26" t="s">
        <v>171</v>
      </c>
      <c r="AC39" s="26" t="s">
        <v>171</v>
      </c>
      <c r="AD39" s="26" t="s">
        <v>171</v>
      </c>
      <c r="AE39" s="26" t="s">
        <v>171</v>
      </c>
      <c r="AF39" s="26" t="s">
        <v>171</v>
      </c>
      <c r="AG39" s="26" t="s">
        <v>171</v>
      </c>
      <c r="AH39" s="26" t="s">
        <v>171</v>
      </c>
      <c r="AI39" s="26" t="s">
        <v>171</v>
      </c>
      <c r="AJ39" s="26" t="s">
        <v>171</v>
      </c>
      <c r="AK39" s="26" t="s">
        <v>171</v>
      </c>
      <c r="AL39" s="26" t="s">
        <v>171</v>
      </c>
      <c r="AM39" s="26" t="s">
        <v>171</v>
      </c>
      <c r="AN39" s="26" t="s">
        <v>171</v>
      </c>
      <c r="AO39" s="26" t="s">
        <v>171</v>
      </c>
      <c r="AP39" s="26" t="s">
        <v>171</v>
      </c>
      <c r="AQ39" s="3" t="s">
        <v>310</v>
      </c>
      <c r="AR39" s="18">
        <f>P39*1000*0.47</f>
        <v>2821734.3</v>
      </c>
      <c r="AS39" s="18">
        <f>Q39*1000*0.35</f>
        <v>1419110</v>
      </c>
      <c r="AT39" s="18">
        <f>N39*1000*0.47</f>
        <v>2892986.3</v>
      </c>
      <c r="AU39" s="18">
        <f>O39*1000*0.35</f>
        <v>1454942.9999999998</v>
      </c>
      <c r="AV39" s="18">
        <f t="shared" ref="AV39:AV44" si="125">AR39</f>
        <v>2821734.3</v>
      </c>
      <c r="AW39" s="18">
        <f>AT39</f>
        <v>2892986.3</v>
      </c>
      <c r="AX39" s="18">
        <f t="shared" ref="AX39:AX44" si="126">AW39</f>
        <v>2892986.3</v>
      </c>
      <c r="AY39" s="18">
        <f t="shared" ref="AY39:AZ42" si="127">AX39</f>
        <v>2892986.3</v>
      </c>
      <c r="AZ39" s="18">
        <f t="shared" si="127"/>
        <v>2892986.3</v>
      </c>
      <c r="BA39" s="18">
        <f t="shared" ref="BA39:BA44" si="128">AS39</f>
        <v>1419110</v>
      </c>
      <c r="BB39" s="18">
        <f>+AU39</f>
        <v>1454942.9999999998</v>
      </c>
      <c r="BC39" s="18">
        <f t="shared" ref="BC39" si="129">BB39</f>
        <v>1454942.9999999998</v>
      </c>
      <c r="BD39" s="18">
        <f t="shared" ref="BD39" si="130">BC39</f>
        <v>1454942.9999999998</v>
      </c>
      <c r="BE39" s="18">
        <f t="shared" ref="BE39" si="131">BD39</f>
        <v>1454942.9999999998</v>
      </c>
      <c r="BF39" s="74">
        <v>0</v>
      </c>
      <c r="BG39" s="74">
        <v>0</v>
      </c>
      <c r="BH39" s="74">
        <v>0</v>
      </c>
      <c r="BI39" s="74">
        <v>0</v>
      </c>
      <c r="BJ39" s="74">
        <v>1</v>
      </c>
    </row>
    <row r="40" spans="2:62" s="9" customFormat="1" ht="102" x14ac:dyDescent="0.25">
      <c r="B40" s="7" t="s">
        <v>308</v>
      </c>
      <c r="C40" s="3" t="s">
        <v>104</v>
      </c>
      <c r="D40" s="3" t="s">
        <v>132</v>
      </c>
      <c r="E40" s="6" t="s">
        <v>133</v>
      </c>
      <c r="F40" s="3" t="s">
        <v>119</v>
      </c>
      <c r="G40" s="3" t="s">
        <v>120</v>
      </c>
      <c r="H40" s="3" t="s">
        <v>23</v>
      </c>
      <c r="I40" s="3" t="s">
        <v>23</v>
      </c>
      <c r="J40" s="72">
        <v>6155.29</v>
      </c>
      <c r="K40" s="72">
        <v>4156.9799999999996</v>
      </c>
      <c r="L40" s="72">
        <v>8601.9599999999991</v>
      </c>
      <c r="M40" s="72">
        <v>5043.38</v>
      </c>
      <c r="N40" s="72">
        <v>6155.29</v>
      </c>
      <c r="O40" s="72">
        <v>4156.9799999999996</v>
      </c>
      <c r="P40" s="72">
        <v>6003.69</v>
      </c>
      <c r="Q40" s="72">
        <v>4054.6</v>
      </c>
      <c r="R40" s="73" t="s">
        <v>171</v>
      </c>
      <c r="S40" s="73" t="s">
        <v>171</v>
      </c>
      <c r="T40" s="3" t="s">
        <v>160</v>
      </c>
      <c r="U40" s="26" t="s">
        <v>171</v>
      </c>
      <c r="V40" s="26" t="s">
        <v>171</v>
      </c>
      <c r="W40" s="26" t="s">
        <v>171</v>
      </c>
      <c r="X40" s="26" t="s">
        <v>171</v>
      </c>
      <c r="Y40" s="26" t="s">
        <v>171</v>
      </c>
      <c r="Z40" s="26" t="s">
        <v>171</v>
      </c>
      <c r="AA40" s="26" t="s">
        <v>171</v>
      </c>
      <c r="AB40" s="26" t="s">
        <v>171</v>
      </c>
      <c r="AC40" s="26" t="s">
        <v>171</v>
      </c>
      <c r="AD40" s="26" t="s">
        <v>171</v>
      </c>
      <c r="AE40" s="26" t="s">
        <v>171</v>
      </c>
      <c r="AF40" s="26" t="s">
        <v>171</v>
      </c>
      <c r="AG40" s="26" t="s">
        <v>171</v>
      </c>
      <c r="AH40" s="26" t="s">
        <v>171</v>
      </c>
      <c r="AI40" s="26" t="s">
        <v>171</v>
      </c>
      <c r="AJ40" s="26" t="s">
        <v>171</v>
      </c>
      <c r="AK40" s="26" t="s">
        <v>171</v>
      </c>
      <c r="AL40" s="26" t="s">
        <v>171</v>
      </c>
      <c r="AM40" s="26" t="s">
        <v>171</v>
      </c>
      <c r="AN40" s="26" t="s">
        <v>171</v>
      </c>
      <c r="AO40" s="26" t="s">
        <v>171</v>
      </c>
      <c r="AP40" s="26" t="s">
        <v>171</v>
      </c>
      <c r="AQ40" s="3" t="s">
        <v>310</v>
      </c>
      <c r="AR40" s="18">
        <f>P40*1000*0.23</f>
        <v>1380848.7</v>
      </c>
      <c r="AS40" s="18">
        <f>Q40*1000*0.2</f>
        <v>810920</v>
      </c>
      <c r="AT40" s="18">
        <f>N40*1000*0.23</f>
        <v>1415716.7</v>
      </c>
      <c r="AU40" s="18">
        <f>O40*1000*0.2</f>
        <v>831396</v>
      </c>
      <c r="AV40" s="18">
        <f t="shared" si="125"/>
        <v>1380848.7</v>
      </c>
      <c r="AW40" s="18">
        <f>AT40</f>
        <v>1415716.7</v>
      </c>
      <c r="AX40" s="18">
        <f t="shared" si="126"/>
        <v>1415716.7</v>
      </c>
      <c r="AY40" s="18">
        <f t="shared" si="127"/>
        <v>1415716.7</v>
      </c>
      <c r="AZ40" s="18">
        <f t="shared" si="127"/>
        <v>1415716.7</v>
      </c>
      <c r="BA40" s="18">
        <f t="shared" si="128"/>
        <v>810920</v>
      </c>
      <c r="BB40" s="18">
        <f>+AU40</f>
        <v>831396</v>
      </c>
      <c r="BC40" s="18">
        <f t="shared" ref="BC40:BC41" si="132">BB40</f>
        <v>831396</v>
      </c>
      <c r="BD40" s="18">
        <f t="shared" ref="BD40:BD41" si="133">BC40</f>
        <v>831396</v>
      </c>
      <c r="BE40" s="18">
        <f t="shared" ref="BE40:BE41" si="134">BD40</f>
        <v>831396</v>
      </c>
      <c r="BF40" s="74">
        <v>0</v>
      </c>
      <c r="BG40" s="74">
        <v>0</v>
      </c>
      <c r="BH40" s="74">
        <v>0</v>
      </c>
      <c r="BI40" s="74">
        <v>0</v>
      </c>
      <c r="BJ40" s="74">
        <v>1</v>
      </c>
    </row>
    <row r="41" spans="2:62" s="9" customFormat="1" ht="102" x14ac:dyDescent="0.25">
      <c r="B41" s="7" t="s">
        <v>303</v>
      </c>
      <c r="C41" s="7" t="s">
        <v>304</v>
      </c>
      <c r="D41" s="3" t="s">
        <v>132</v>
      </c>
      <c r="E41" s="6" t="s">
        <v>302</v>
      </c>
      <c r="F41" s="3" t="s">
        <v>121</v>
      </c>
      <c r="G41" s="3" t="s">
        <v>122</v>
      </c>
      <c r="H41" s="3" t="s">
        <v>23</v>
      </c>
      <c r="I41" s="3" t="s">
        <v>23</v>
      </c>
      <c r="J41" s="72">
        <v>6155.29</v>
      </c>
      <c r="K41" s="72">
        <v>4156.9799999999996</v>
      </c>
      <c r="L41" s="72">
        <v>8601.9599999999991</v>
      </c>
      <c r="M41" s="72">
        <v>5043.38</v>
      </c>
      <c r="N41" s="72">
        <v>6155.29</v>
      </c>
      <c r="O41" s="72">
        <v>4156.9799999999996</v>
      </c>
      <c r="P41" s="72">
        <v>6003.69</v>
      </c>
      <c r="Q41" s="72">
        <v>4054.6</v>
      </c>
      <c r="R41" s="73" t="s">
        <v>171</v>
      </c>
      <c r="S41" s="73" t="s">
        <v>171</v>
      </c>
      <c r="T41" s="3" t="s">
        <v>160</v>
      </c>
      <c r="U41" s="26" t="s">
        <v>171</v>
      </c>
      <c r="V41" s="26" t="s">
        <v>171</v>
      </c>
      <c r="W41" s="26" t="s">
        <v>171</v>
      </c>
      <c r="X41" s="26" t="s">
        <v>171</v>
      </c>
      <c r="Y41" s="26" t="s">
        <v>171</v>
      </c>
      <c r="Z41" s="26" t="s">
        <v>171</v>
      </c>
      <c r="AA41" s="26" t="s">
        <v>171</v>
      </c>
      <c r="AB41" s="26" t="s">
        <v>171</v>
      </c>
      <c r="AC41" s="26" t="s">
        <v>171</v>
      </c>
      <c r="AD41" s="26" t="s">
        <v>171</v>
      </c>
      <c r="AE41" s="26" t="s">
        <v>171</v>
      </c>
      <c r="AF41" s="26" t="s">
        <v>171</v>
      </c>
      <c r="AG41" s="26" t="s">
        <v>171</v>
      </c>
      <c r="AH41" s="26" t="s">
        <v>171</v>
      </c>
      <c r="AI41" s="26" t="s">
        <v>171</v>
      </c>
      <c r="AJ41" s="26" t="s">
        <v>171</v>
      </c>
      <c r="AK41" s="26" t="s">
        <v>171</v>
      </c>
      <c r="AL41" s="26" t="s">
        <v>171</v>
      </c>
      <c r="AM41" s="26" t="s">
        <v>171</v>
      </c>
      <c r="AN41" s="26" t="s">
        <v>171</v>
      </c>
      <c r="AO41" s="26" t="s">
        <v>171</v>
      </c>
      <c r="AP41" s="26" t="s">
        <v>171</v>
      </c>
      <c r="AQ41" s="3" t="s">
        <v>310</v>
      </c>
      <c r="AR41" s="18">
        <f>P41*1000*0.14</f>
        <v>840516.60000000009</v>
      </c>
      <c r="AS41" s="18">
        <f>Q41*1000*0.4</f>
        <v>1621840</v>
      </c>
      <c r="AT41" s="18">
        <f>N41*1000*0.14</f>
        <v>861740.60000000009</v>
      </c>
      <c r="AU41" s="18">
        <f>O41*1000*0.4</f>
        <v>1662792</v>
      </c>
      <c r="AV41" s="18">
        <f t="shared" si="125"/>
        <v>840516.60000000009</v>
      </c>
      <c r="AW41" s="18">
        <f>AT41</f>
        <v>861740.60000000009</v>
      </c>
      <c r="AX41" s="18">
        <f t="shared" si="126"/>
        <v>861740.60000000009</v>
      </c>
      <c r="AY41" s="18">
        <f t="shared" si="127"/>
        <v>861740.60000000009</v>
      </c>
      <c r="AZ41" s="18">
        <f t="shared" si="127"/>
        <v>861740.60000000009</v>
      </c>
      <c r="BA41" s="18">
        <f t="shared" si="128"/>
        <v>1621840</v>
      </c>
      <c r="BB41" s="18">
        <f>+AU41</f>
        <v>1662792</v>
      </c>
      <c r="BC41" s="18">
        <f t="shared" si="132"/>
        <v>1662792</v>
      </c>
      <c r="BD41" s="18">
        <f t="shared" si="133"/>
        <v>1662792</v>
      </c>
      <c r="BE41" s="18">
        <f t="shared" si="134"/>
        <v>1662792</v>
      </c>
      <c r="BF41" s="74">
        <v>0</v>
      </c>
      <c r="BG41" s="74">
        <v>0</v>
      </c>
      <c r="BH41" s="74">
        <v>0</v>
      </c>
      <c r="BI41" s="74">
        <v>0</v>
      </c>
      <c r="BJ41" s="74">
        <v>1</v>
      </c>
    </row>
    <row r="42" spans="2:62" s="9" customFormat="1" ht="102" x14ac:dyDescent="0.25">
      <c r="B42" s="7" t="s">
        <v>305</v>
      </c>
      <c r="C42" s="7" t="s">
        <v>304</v>
      </c>
      <c r="D42" s="3" t="s">
        <v>132</v>
      </c>
      <c r="E42" s="6" t="s">
        <v>302</v>
      </c>
      <c r="F42" s="3" t="s">
        <v>123</v>
      </c>
      <c r="G42" s="3" t="s">
        <v>124</v>
      </c>
      <c r="H42" s="3" t="s">
        <v>23</v>
      </c>
      <c r="I42" s="3" t="s">
        <v>23</v>
      </c>
      <c r="J42" s="72">
        <v>6155.29</v>
      </c>
      <c r="K42" s="72">
        <v>4156.9799999999996</v>
      </c>
      <c r="L42" s="72">
        <v>8601.9599999999991</v>
      </c>
      <c r="M42" s="72">
        <v>5043.38</v>
      </c>
      <c r="N42" s="72">
        <v>6155.29</v>
      </c>
      <c r="O42" s="72">
        <v>4156.9799999999996</v>
      </c>
      <c r="P42" s="72">
        <v>6003.69</v>
      </c>
      <c r="Q42" s="72">
        <v>4054.6</v>
      </c>
      <c r="R42" s="73" t="s">
        <v>171</v>
      </c>
      <c r="S42" s="73" t="s">
        <v>171</v>
      </c>
      <c r="T42" s="3" t="s">
        <v>160</v>
      </c>
      <c r="U42" s="26" t="s">
        <v>171</v>
      </c>
      <c r="V42" s="26" t="s">
        <v>171</v>
      </c>
      <c r="W42" s="26" t="s">
        <v>171</v>
      </c>
      <c r="X42" s="26" t="s">
        <v>171</v>
      </c>
      <c r="Y42" s="26" t="s">
        <v>171</v>
      </c>
      <c r="Z42" s="26" t="s">
        <v>171</v>
      </c>
      <c r="AA42" s="26" t="s">
        <v>171</v>
      </c>
      <c r="AB42" s="26" t="s">
        <v>171</v>
      </c>
      <c r="AC42" s="26" t="s">
        <v>171</v>
      </c>
      <c r="AD42" s="26" t="s">
        <v>171</v>
      </c>
      <c r="AE42" s="26" t="s">
        <v>171</v>
      </c>
      <c r="AF42" s="26" t="s">
        <v>171</v>
      </c>
      <c r="AG42" s="26" t="s">
        <v>171</v>
      </c>
      <c r="AH42" s="26" t="s">
        <v>171</v>
      </c>
      <c r="AI42" s="26" t="s">
        <v>171</v>
      </c>
      <c r="AJ42" s="26" t="s">
        <v>171</v>
      </c>
      <c r="AK42" s="26" t="s">
        <v>171</v>
      </c>
      <c r="AL42" s="26" t="s">
        <v>171</v>
      </c>
      <c r="AM42" s="26" t="s">
        <v>171</v>
      </c>
      <c r="AN42" s="26" t="s">
        <v>171</v>
      </c>
      <c r="AO42" s="26" t="s">
        <v>171</v>
      </c>
      <c r="AP42" s="26" t="s">
        <v>171</v>
      </c>
      <c r="AQ42" s="3" t="s">
        <v>310</v>
      </c>
      <c r="AR42" s="18">
        <f>P42*1000*0.16</f>
        <v>960590.4</v>
      </c>
      <c r="AS42" s="18">
        <f>Q42*1000*0.05</f>
        <v>202730</v>
      </c>
      <c r="AT42" s="18">
        <f>N42*1000*0.16</f>
        <v>984846.4</v>
      </c>
      <c r="AU42" s="18">
        <f>O42*1000*0.05</f>
        <v>207849</v>
      </c>
      <c r="AV42" s="18">
        <f t="shared" si="125"/>
        <v>960590.4</v>
      </c>
      <c r="AW42" s="18">
        <f>AT42</f>
        <v>984846.4</v>
      </c>
      <c r="AX42" s="18">
        <f t="shared" si="126"/>
        <v>984846.4</v>
      </c>
      <c r="AY42" s="18">
        <f t="shared" si="127"/>
        <v>984846.4</v>
      </c>
      <c r="AZ42" s="18">
        <f t="shared" si="127"/>
        <v>984846.4</v>
      </c>
      <c r="BA42" s="18">
        <f t="shared" si="128"/>
        <v>202730</v>
      </c>
      <c r="BB42" s="18">
        <f>+AU42</f>
        <v>207849</v>
      </c>
      <c r="BC42" s="18">
        <f t="shared" ref="BC42" si="135">BB42</f>
        <v>207849</v>
      </c>
      <c r="BD42" s="18">
        <f t="shared" ref="BD42" si="136">BC42</f>
        <v>207849</v>
      </c>
      <c r="BE42" s="18">
        <f t="shared" ref="BE42" si="137">BD42</f>
        <v>207849</v>
      </c>
      <c r="BF42" s="74">
        <v>0</v>
      </c>
      <c r="BG42" s="74">
        <v>0</v>
      </c>
      <c r="BH42" s="74">
        <v>0</v>
      </c>
      <c r="BI42" s="74">
        <v>0</v>
      </c>
      <c r="BJ42" s="74">
        <v>1</v>
      </c>
    </row>
    <row r="43" spans="2:62" s="92" customFormat="1" ht="63.75" x14ac:dyDescent="0.25">
      <c r="B43" s="87" t="s">
        <v>14</v>
      </c>
      <c r="C43" s="88" t="s">
        <v>102</v>
      </c>
      <c r="D43" s="88" t="s">
        <v>98</v>
      </c>
      <c r="E43" s="88" t="s">
        <v>10</v>
      </c>
      <c r="F43" s="88" t="s">
        <v>128</v>
      </c>
      <c r="G43" s="88" t="s">
        <v>129</v>
      </c>
      <c r="H43" s="88" t="s">
        <v>11</v>
      </c>
      <c r="I43" s="88" t="s">
        <v>11</v>
      </c>
      <c r="J43" s="89">
        <v>0.32</v>
      </c>
      <c r="K43" s="89">
        <v>0.34</v>
      </c>
      <c r="L43" s="89" t="s">
        <v>9</v>
      </c>
      <c r="M43" s="89" t="s">
        <v>9</v>
      </c>
      <c r="N43" s="89">
        <v>0.32</v>
      </c>
      <c r="O43" s="89">
        <v>0.34</v>
      </c>
      <c r="P43" s="89">
        <v>0.32</v>
      </c>
      <c r="Q43" s="89">
        <v>0.34</v>
      </c>
      <c r="R43" s="90" t="s">
        <v>171</v>
      </c>
      <c r="S43" s="90" t="s">
        <v>171</v>
      </c>
      <c r="T43" s="88" t="s">
        <v>160</v>
      </c>
      <c r="U43" s="91" t="s">
        <v>166</v>
      </c>
      <c r="V43" s="91" t="s">
        <v>166</v>
      </c>
      <c r="W43" s="91" t="s">
        <v>166</v>
      </c>
      <c r="X43" s="91" t="s">
        <v>166</v>
      </c>
      <c r="Y43" s="91" t="s">
        <v>166</v>
      </c>
      <c r="Z43" s="91" t="s">
        <v>166</v>
      </c>
      <c r="AA43" s="91" t="s">
        <v>166</v>
      </c>
      <c r="AB43" s="91" t="s">
        <v>166</v>
      </c>
      <c r="AC43" s="91" t="s">
        <v>166</v>
      </c>
      <c r="AD43" s="91" t="s">
        <v>166</v>
      </c>
      <c r="AE43" s="91" t="s">
        <v>166</v>
      </c>
      <c r="AF43" s="91" t="s">
        <v>166</v>
      </c>
      <c r="AG43" s="91" t="s">
        <v>166</v>
      </c>
      <c r="AH43" s="91" t="s">
        <v>166</v>
      </c>
      <c r="AI43" s="91" t="s">
        <v>166</v>
      </c>
      <c r="AJ43" s="91" t="s">
        <v>166</v>
      </c>
      <c r="AK43" s="91" t="s">
        <v>166</v>
      </c>
      <c r="AL43" s="91" t="s">
        <v>166</v>
      </c>
      <c r="AM43" s="91" t="s">
        <v>166</v>
      </c>
      <c r="AN43" s="91" t="s">
        <v>166</v>
      </c>
      <c r="AO43" s="91" t="s">
        <v>166</v>
      </c>
      <c r="AP43" s="91" t="s">
        <v>166</v>
      </c>
      <c r="AQ43" s="7" t="s">
        <v>330</v>
      </c>
      <c r="AR43" s="88">
        <f>P43*1000</f>
        <v>320</v>
      </c>
      <c r="AS43" s="88">
        <f>Q43*1000</f>
        <v>340</v>
      </c>
      <c r="AT43" s="88">
        <f>N43*1000</f>
        <v>320</v>
      </c>
      <c r="AU43" s="88">
        <f>O43*1000</f>
        <v>340</v>
      </c>
      <c r="AV43" s="88">
        <f t="shared" si="125"/>
        <v>320</v>
      </c>
      <c r="AW43" s="88">
        <f>AV43</f>
        <v>320</v>
      </c>
      <c r="AX43" s="88">
        <f t="shared" si="126"/>
        <v>320</v>
      </c>
      <c r="AY43" s="88">
        <f>AX43</f>
        <v>320</v>
      </c>
      <c r="AZ43" s="88">
        <f>AT43</f>
        <v>320</v>
      </c>
      <c r="BA43" s="88">
        <f t="shared" si="128"/>
        <v>340</v>
      </c>
      <c r="BB43" s="88">
        <f t="shared" ref="BB43:BD44" si="138">BA43</f>
        <v>340</v>
      </c>
      <c r="BC43" s="88">
        <f t="shared" si="138"/>
        <v>340</v>
      </c>
      <c r="BD43" s="88">
        <f t="shared" si="138"/>
        <v>340</v>
      </c>
      <c r="BE43" s="88">
        <f>AU43</f>
        <v>340</v>
      </c>
      <c r="BF43" s="91" t="s">
        <v>166</v>
      </c>
      <c r="BG43" s="91" t="s">
        <v>166</v>
      </c>
      <c r="BH43" s="91" t="s">
        <v>166</v>
      </c>
      <c r="BI43" s="91" t="s">
        <v>166</v>
      </c>
      <c r="BJ43" s="91" t="s">
        <v>166</v>
      </c>
    </row>
    <row r="44" spans="2:62" ht="63.75" x14ac:dyDescent="0.25">
      <c r="B44" s="3" t="s">
        <v>18</v>
      </c>
      <c r="C44" s="3" t="s">
        <v>104</v>
      </c>
      <c r="D44" s="3" t="s">
        <v>134</v>
      </c>
      <c r="E44" s="3" t="s">
        <v>135</v>
      </c>
      <c r="F44" s="3" t="s">
        <v>125</v>
      </c>
      <c r="G44" s="3" t="s">
        <v>126</v>
      </c>
      <c r="H44" s="7" t="s">
        <v>23</v>
      </c>
      <c r="I44" s="7" t="s">
        <v>23</v>
      </c>
      <c r="J44" s="4" t="s">
        <v>19</v>
      </c>
      <c r="K44" s="4" t="s">
        <v>20</v>
      </c>
      <c r="L44" s="4" t="s">
        <v>9</v>
      </c>
      <c r="M44" s="4" t="s">
        <v>9</v>
      </c>
      <c r="N44" s="4">
        <v>0.35</v>
      </c>
      <c r="O44" s="4">
        <v>0.74</v>
      </c>
      <c r="P44" s="4">
        <v>0.35</v>
      </c>
      <c r="Q44" s="4">
        <v>0.74</v>
      </c>
      <c r="R44" s="26" t="s">
        <v>171</v>
      </c>
      <c r="S44" s="26" t="s">
        <v>171</v>
      </c>
      <c r="T44" s="88" t="s">
        <v>160</v>
      </c>
      <c r="U44" s="91" t="s">
        <v>166</v>
      </c>
      <c r="V44" s="91" t="s">
        <v>166</v>
      </c>
      <c r="W44" s="91" t="s">
        <v>166</v>
      </c>
      <c r="X44" s="91" t="s">
        <v>166</v>
      </c>
      <c r="Y44" s="91" t="s">
        <v>166</v>
      </c>
      <c r="Z44" s="91" t="s">
        <v>166</v>
      </c>
      <c r="AA44" s="91" t="s">
        <v>166</v>
      </c>
      <c r="AB44" s="91" t="s">
        <v>166</v>
      </c>
      <c r="AC44" s="91" t="s">
        <v>166</v>
      </c>
      <c r="AD44" s="91" t="s">
        <v>166</v>
      </c>
      <c r="AE44" s="91" t="s">
        <v>166</v>
      </c>
      <c r="AF44" s="91" t="s">
        <v>166</v>
      </c>
      <c r="AG44" s="91" t="s">
        <v>166</v>
      </c>
      <c r="AH44" s="91" t="s">
        <v>166</v>
      </c>
      <c r="AI44" s="91" t="s">
        <v>166</v>
      </c>
      <c r="AJ44" s="91" t="s">
        <v>166</v>
      </c>
      <c r="AK44" s="91" t="s">
        <v>166</v>
      </c>
      <c r="AL44" s="91" t="s">
        <v>166</v>
      </c>
      <c r="AM44" s="91" t="s">
        <v>166</v>
      </c>
      <c r="AN44" s="91" t="s">
        <v>166</v>
      </c>
      <c r="AO44" s="91" t="s">
        <v>166</v>
      </c>
      <c r="AP44" s="91" t="s">
        <v>166</v>
      </c>
      <c r="AQ44" s="7" t="s">
        <v>331</v>
      </c>
      <c r="AR44" s="88">
        <f>P44*1000</f>
        <v>350</v>
      </c>
      <c r="AS44" s="88">
        <f>Q44*1000</f>
        <v>740</v>
      </c>
      <c r="AT44" s="88">
        <f>N44*1000</f>
        <v>350</v>
      </c>
      <c r="AU44" s="88">
        <f>O44*1000</f>
        <v>740</v>
      </c>
      <c r="AV44" s="88">
        <f t="shared" si="125"/>
        <v>350</v>
      </c>
      <c r="AW44" s="88">
        <f>AV44</f>
        <v>350</v>
      </c>
      <c r="AX44" s="88">
        <f t="shared" si="126"/>
        <v>350</v>
      </c>
      <c r="AY44" s="88">
        <f>AX44</f>
        <v>350</v>
      </c>
      <c r="AZ44" s="88">
        <f>AT44</f>
        <v>350</v>
      </c>
      <c r="BA44" s="88">
        <f t="shared" si="128"/>
        <v>740</v>
      </c>
      <c r="BB44" s="88">
        <f t="shared" si="138"/>
        <v>740</v>
      </c>
      <c r="BC44" s="88">
        <f t="shared" si="138"/>
        <v>740</v>
      </c>
      <c r="BD44" s="88">
        <f t="shared" si="138"/>
        <v>740</v>
      </c>
      <c r="BE44" s="88">
        <f>AU44</f>
        <v>740</v>
      </c>
      <c r="BF44" s="91" t="s">
        <v>166</v>
      </c>
      <c r="BG44" s="91" t="s">
        <v>166</v>
      </c>
      <c r="BH44" s="91" t="s">
        <v>166</v>
      </c>
      <c r="BI44" s="91" t="s">
        <v>166</v>
      </c>
      <c r="BJ44" s="91" t="s">
        <v>166</v>
      </c>
    </row>
    <row r="45" spans="2:62" ht="12.75" x14ac:dyDescent="0.25">
      <c r="P45" s="16"/>
      <c r="Q45" s="16"/>
      <c r="R45" s="16"/>
      <c r="S45" s="16"/>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row>
    <row r="46" spans="2:62" ht="12.75" x14ac:dyDescent="0.25">
      <c r="T46" s="2"/>
      <c r="U46" s="2"/>
      <c r="V46" s="2"/>
      <c r="W46" s="2"/>
      <c r="X46" s="2"/>
      <c r="Y46" s="2"/>
      <c r="Z46" s="2"/>
      <c r="AA46" s="2"/>
      <c r="AB46" s="2"/>
      <c r="AC46" s="2"/>
      <c r="AD46" s="2"/>
      <c r="AF46" s="2"/>
      <c r="AG46" s="2"/>
      <c r="AH46" s="2"/>
      <c r="AI46" s="2"/>
      <c r="AJ46" s="2"/>
      <c r="AK46" s="2"/>
      <c r="AL46" s="2"/>
      <c r="AM46" s="2"/>
      <c r="AN46" s="2"/>
      <c r="AO46" s="2"/>
      <c r="AP46" s="2"/>
      <c r="AQ46" s="2"/>
      <c r="AR46" s="75"/>
      <c r="AS46" s="75"/>
      <c r="AT46" s="75"/>
      <c r="AU46" s="75"/>
      <c r="AV46" s="2"/>
      <c r="AW46" s="2"/>
      <c r="AX46" s="2"/>
      <c r="AY46" s="2"/>
      <c r="AZ46" s="2"/>
      <c r="BA46" s="2"/>
      <c r="BB46" s="2"/>
      <c r="BC46" s="2"/>
      <c r="BD46" s="2"/>
      <c r="BE46" s="2"/>
      <c r="BF46" s="2"/>
      <c r="BG46" s="2"/>
      <c r="BH46" s="2"/>
      <c r="BI46" s="2"/>
      <c r="BJ46" s="2"/>
    </row>
    <row r="47" spans="2:62" ht="12.75" x14ac:dyDescent="0.25">
      <c r="T47" s="2"/>
      <c r="U47" s="2"/>
      <c r="V47" s="2"/>
      <c r="W47" s="2"/>
      <c r="X47" s="2"/>
      <c r="Y47" s="2"/>
      <c r="Z47" s="2"/>
      <c r="AA47" s="2"/>
      <c r="AB47" s="2"/>
      <c r="AC47" s="2"/>
      <c r="AD47" s="2"/>
      <c r="AE47" s="2"/>
      <c r="AF47" s="2"/>
      <c r="AG47" s="2"/>
      <c r="AH47" s="2"/>
      <c r="AI47" s="2"/>
      <c r="AJ47" s="2"/>
      <c r="AK47" s="2"/>
      <c r="AL47" s="2"/>
      <c r="AM47" s="2"/>
      <c r="AN47" s="2"/>
      <c r="AO47" s="2"/>
      <c r="AP47" s="2"/>
      <c r="AQ47" s="2"/>
      <c r="AR47" s="76"/>
      <c r="AS47" s="76"/>
      <c r="AT47" s="76"/>
      <c r="AU47" s="76"/>
      <c r="AV47" s="2"/>
      <c r="AW47" s="2"/>
      <c r="AX47" s="2"/>
      <c r="AY47" s="2"/>
      <c r="AZ47" s="2"/>
      <c r="BA47" s="2"/>
      <c r="BB47" s="2"/>
      <c r="BC47" s="2"/>
      <c r="BD47" s="2"/>
      <c r="BE47" s="2"/>
      <c r="BF47" s="2"/>
      <c r="BG47" s="2"/>
      <c r="BH47" s="2"/>
      <c r="BI47" s="2"/>
      <c r="BJ47" s="2"/>
    </row>
    <row r="48" spans="2:62" ht="12.75" x14ac:dyDescent="0.25">
      <c r="T48" s="2"/>
      <c r="U48" s="2"/>
      <c r="V48" s="2"/>
      <c r="W48" s="2"/>
      <c r="X48" s="2"/>
      <c r="Y48" s="2"/>
      <c r="Z48" s="2"/>
      <c r="AA48" s="2"/>
      <c r="AB48" s="2"/>
      <c r="AC48" s="2"/>
      <c r="AD48" s="2"/>
      <c r="AE48" s="2"/>
      <c r="AF48" s="2"/>
      <c r="AG48" s="2"/>
      <c r="AH48" s="2"/>
      <c r="AI48" s="2"/>
      <c r="AJ48" s="2"/>
      <c r="AK48" s="2"/>
      <c r="AL48" s="2"/>
      <c r="AM48" s="2"/>
      <c r="AN48" s="2"/>
      <c r="AO48" s="2"/>
      <c r="AP48" s="2"/>
      <c r="AQ48" s="2"/>
      <c r="AR48" s="77"/>
      <c r="AS48" s="77"/>
      <c r="AT48" s="77"/>
      <c r="AU48" s="77"/>
      <c r="AV48" s="2"/>
      <c r="AW48" s="2"/>
      <c r="AX48" s="2"/>
      <c r="AY48" s="2"/>
      <c r="AZ48" s="2"/>
      <c r="BA48" s="2"/>
      <c r="BB48" s="2"/>
      <c r="BC48" s="2"/>
      <c r="BD48" s="2"/>
      <c r="BE48" s="2"/>
      <c r="BF48" s="2"/>
      <c r="BG48" s="2"/>
      <c r="BH48" s="2"/>
      <c r="BI48" s="2"/>
      <c r="BJ48" s="2"/>
    </row>
    <row r="49" spans="10:62" ht="12.75" x14ac:dyDescent="0.25">
      <c r="P49" s="11"/>
      <c r="Q49" s="17"/>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row>
    <row r="50" spans="10:62" ht="12.75" x14ac:dyDescent="0.25">
      <c r="P50" s="17"/>
      <c r="Q50" s="17"/>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row>
    <row r="51" spans="10:62" ht="12.75" x14ac:dyDescent="0.25">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row>
    <row r="52" spans="10:62" ht="12.75" x14ac:dyDescent="0.25">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0:62" ht="12.75" x14ac:dyDescent="0.25">
      <c r="P53" s="11"/>
      <c r="Q53" s="11"/>
      <c r="R53" s="11"/>
      <c r="S53" s="11"/>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0:62" ht="12.75" x14ac:dyDescent="0.25">
      <c r="P54" s="11"/>
      <c r="Q54" s="11"/>
      <c r="R54" s="11"/>
      <c r="S54" s="11"/>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0:62" ht="12.75" x14ac:dyDescent="0.25">
      <c r="P55" s="11"/>
      <c r="Q55" s="11"/>
      <c r="R55" s="11"/>
      <c r="S55" s="11"/>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0:62" ht="12.75" x14ac:dyDescent="0.25">
      <c r="P56" s="11"/>
      <c r="Q56" s="11"/>
      <c r="R56" s="11"/>
      <c r="S56" s="11"/>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0:62" ht="12.75" x14ac:dyDescent="0.25">
      <c r="P57" s="11"/>
      <c r="Q57" s="11"/>
      <c r="R57" s="11"/>
      <c r="S57" s="11"/>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0:62" ht="12.75" x14ac:dyDescent="0.25">
      <c r="J58" s="11"/>
      <c r="Q58" s="11"/>
      <c r="R58" s="11"/>
      <c r="S58" s="11"/>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10:62" ht="12.75" x14ac:dyDescent="0.25">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sheetData>
  <mergeCells count="37">
    <mergeCell ref="H4:H6"/>
    <mergeCell ref="B4:B6"/>
    <mergeCell ref="C4:C6"/>
    <mergeCell ref="D4:D6"/>
    <mergeCell ref="E4:E6"/>
    <mergeCell ref="F4:G4"/>
    <mergeCell ref="I4:I6"/>
    <mergeCell ref="P5:Q5"/>
    <mergeCell ref="J5:K5"/>
    <mergeCell ref="L5:M5"/>
    <mergeCell ref="N5:O5"/>
    <mergeCell ref="AM5:AM6"/>
    <mergeCell ref="AN5:AP5"/>
    <mergeCell ref="AQ5:AQ6"/>
    <mergeCell ref="AR3:BJ3"/>
    <mergeCell ref="AR4:AS5"/>
    <mergeCell ref="AT4:AU5"/>
    <mergeCell ref="AV4:BE4"/>
    <mergeCell ref="BF4:BJ5"/>
    <mergeCell ref="BA5:BE5"/>
    <mergeCell ref="AV5:AZ5"/>
    <mergeCell ref="R5:S5"/>
    <mergeCell ref="J4:O4"/>
    <mergeCell ref="P4:S4"/>
    <mergeCell ref="AK5:AK6"/>
    <mergeCell ref="AL5:AL6"/>
    <mergeCell ref="W5:AA5"/>
    <mergeCell ref="AB5:AF5"/>
    <mergeCell ref="AG5:AG6"/>
    <mergeCell ref="AH5:AH6"/>
    <mergeCell ref="AI5:AI6"/>
    <mergeCell ref="AJ5:AJ6"/>
    <mergeCell ref="T3:T6"/>
    <mergeCell ref="U3:V5"/>
    <mergeCell ref="W3:AF4"/>
    <mergeCell ref="AG3:AK4"/>
    <mergeCell ref="AL3:AQ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0"/>
  <sheetViews>
    <sheetView topLeftCell="B1" zoomScale="90" zoomScaleNormal="90" workbookViewId="0">
      <pane xSplit="5" ySplit="4" topLeftCell="G5" activePane="bottomRight" state="frozen"/>
      <selection activeCell="B1" sqref="B1"/>
      <selection pane="topRight" activeCell="G1" sqref="G1"/>
      <selection pane="bottomLeft" activeCell="B5" sqref="B5"/>
      <selection pane="bottomRight" activeCell="S6" sqref="S6"/>
    </sheetView>
  </sheetViews>
  <sheetFormatPr baseColWidth="10" defaultColWidth="11.44140625" defaultRowHeight="13.2" x14ac:dyDescent="0.3"/>
  <cols>
    <col min="1" max="1" width="3.33203125" style="46" customWidth="1"/>
    <col min="2" max="3" width="11.44140625" style="46"/>
    <col min="4" max="4" width="7.44140625" style="46" customWidth="1"/>
    <col min="5" max="6" width="21" style="46" customWidth="1"/>
    <col min="7" max="7" width="11.44140625" style="46"/>
    <col min="8" max="8" width="6" style="57" customWidth="1"/>
    <col min="9" max="9" width="11.44140625" style="46"/>
    <col min="10" max="10" width="6" style="57" customWidth="1"/>
    <col min="11" max="11" width="11.44140625" style="46"/>
    <col min="12" max="12" width="6" style="57" customWidth="1"/>
    <col min="13" max="13" width="11.44140625" style="46"/>
    <col min="14" max="14" width="6" style="57" customWidth="1"/>
    <col min="15" max="15" width="11.44140625" style="46"/>
    <col min="16" max="16" width="6" style="57" customWidth="1"/>
    <col min="17" max="17" width="11.44140625" style="46"/>
    <col min="18" max="18" width="6" style="57" customWidth="1"/>
    <col min="19" max="19" width="11.44140625" style="46"/>
    <col min="20" max="20" width="6" style="57" customWidth="1"/>
    <col min="21" max="21" width="11.44140625" style="46"/>
    <col min="22" max="22" width="6" style="57" customWidth="1"/>
    <col min="23" max="23" width="11.44140625" style="46"/>
    <col min="24" max="24" width="6" style="57" customWidth="1"/>
    <col min="25" max="25" width="11.44140625" style="46"/>
    <col min="26" max="26" width="6" style="57" customWidth="1"/>
    <col min="27" max="16384" width="11.44140625" style="46"/>
  </cols>
  <sheetData>
    <row r="1" spans="2:26" ht="13.5" x14ac:dyDescent="0.25">
      <c r="G1" s="46">
        <f>12069.83+13231.76</f>
        <v>25301.59</v>
      </c>
    </row>
    <row r="2" spans="2:26" s="53" customFormat="1" ht="15" customHeight="1" x14ac:dyDescent="0.3">
      <c r="B2" s="134" t="s">
        <v>240</v>
      </c>
      <c r="C2" s="135" t="s">
        <v>282</v>
      </c>
      <c r="D2" s="135" t="s">
        <v>241</v>
      </c>
      <c r="E2" s="135" t="s">
        <v>242</v>
      </c>
      <c r="F2" s="135" t="s">
        <v>285</v>
      </c>
      <c r="G2" s="134" t="s">
        <v>243</v>
      </c>
      <c r="H2" s="134"/>
      <c r="I2" s="134"/>
      <c r="J2" s="134"/>
      <c r="K2" s="134"/>
      <c r="L2" s="134"/>
      <c r="M2" s="134"/>
      <c r="N2" s="134"/>
      <c r="O2" s="134"/>
      <c r="P2" s="134"/>
      <c r="Q2" s="134"/>
      <c r="R2" s="134"/>
      <c r="S2" s="134"/>
      <c r="T2" s="134"/>
      <c r="U2" s="134"/>
      <c r="V2" s="134"/>
      <c r="W2" s="134"/>
      <c r="X2" s="134"/>
      <c r="Y2" s="134"/>
      <c r="Z2" s="134"/>
    </row>
    <row r="3" spans="2:26" s="53" customFormat="1" ht="15.75" customHeight="1" x14ac:dyDescent="0.3">
      <c r="B3" s="134"/>
      <c r="C3" s="136"/>
      <c r="D3" s="137"/>
      <c r="E3" s="136"/>
      <c r="F3" s="136"/>
      <c r="G3" s="134">
        <v>2013</v>
      </c>
      <c r="H3" s="134"/>
      <c r="I3" s="134"/>
      <c r="J3" s="134"/>
      <c r="K3" s="134">
        <v>2014</v>
      </c>
      <c r="L3" s="134"/>
      <c r="M3" s="134"/>
      <c r="N3" s="134"/>
      <c r="O3" s="134">
        <v>2015</v>
      </c>
      <c r="P3" s="134"/>
      <c r="Q3" s="134"/>
      <c r="R3" s="134"/>
      <c r="S3" s="134">
        <v>2016</v>
      </c>
      <c r="T3" s="134"/>
      <c r="U3" s="134"/>
      <c r="V3" s="134"/>
      <c r="W3" s="134">
        <v>2017</v>
      </c>
      <c r="X3" s="134"/>
      <c r="Y3" s="134"/>
      <c r="Z3" s="134"/>
    </row>
    <row r="4" spans="2:26" s="53" customFormat="1" ht="27.75" customHeight="1" x14ac:dyDescent="0.3">
      <c r="B4" s="134"/>
      <c r="C4" s="137"/>
      <c r="D4" s="54" t="s">
        <v>239</v>
      </c>
      <c r="E4" s="137"/>
      <c r="F4" s="137"/>
      <c r="G4" s="54" t="s">
        <v>245</v>
      </c>
      <c r="H4" s="58" t="s">
        <v>154</v>
      </c>
      <c r="I4" s="54" t="s">
        <v>246</v>
      </c>
      <c r="J4" s="58" t="s">
        <v>154</v>
      </c>
      <c r="K4" s="66" t="s">
        <v>245</v>
      </c>
      <c r="L4" s="58" t="s">
        <v>154</v>
      </c>
      <c r="M4" s="66" t="s">
        <v>246</v>
      </c>
      <c r="N4" s="58" t="s">
        <v>154</v>
      </c>
      <c r="O4" s="66" t="s">
        <v>245</v>
      </c>
      <c r="P4" s="58" t="s">
        <v>154</v>
      </c>
      <c r="Q4" s="66" t="s">
        <v>246</v>
      </c>
      <c r="R4" s="58" t="s">
        <v>154</v>
      </c>
      <c r="S4" s="66" t="s">
        <v>245</v>
      </c>
      <c r="T4" s="58" t="s">
        <v>154</v>
      </c>
      <c r="U4" s="66" t="s">
        <v>246</v>
      </c>
      <c r="V4" s="58" t="s">
        <v>154</v>
      </c>
      <c r="W4" s="66" t="s">
        <v>245</v>
      </c>
      <c r="X4" s="58" t="s">
        <v>154</v>
      </c>
      <c r="Y4" s="66" t="s">
        <v>246</v>
      </c>
      <c r="Z4" s="58" t="s">
        <v>154</v>
      </c>
    </row>
    <row r="5" spans="2:26" x14ac:dyDescent="0.3">
      <c r="B5" s="117" t="s">
        <v>249</v>
      </c>
      <c r="C5" s="117" t="s">
        <v>249</v>
      </c>
      <c r="D5" s="47">
        <v>1</v>
      </c>
      <c r="E5" s="47" t="s">
        <v>247</v>
      </c>
      <c r="F5" s="47" t="s">
        <v>288</v>
      </c>
      <c r="G5" s="48">
        <v>2372.16</v>
      </c>
      <c r="H5" s="55">
        <f>G5/G8</f>
        <v>0.39967852647860125</v>
      </c>
      <c r="I5" s="47">
        <v>985.74</v>
      </c>
      <c r="J5" s="55">
        <f>I5/I8</f>
        <v>0.308087074744886</v>
      </c>
      <c r="K5" s="47"/>
      <c r="L5" s="55">
        <f>K5/K8</f>
        <v>0</v>
      </c>
      <c r="M5" s="47"/>
      <c r="N5" s="55">
        <f>M5/M8</f>
        <v>0</v>
      </c>
      <c r="O5" s="47"/>
      <c r="P5" s="55">
        <f>O5/O8</f>
        <v>0</v>
      </c>
      <c r="Q5" s="47"/>
      <c r="R5" s="55">
        <f>Q5/Q8</f>
        <v>0</v>
      </c>
      <c r="S5" s="47"/>
      <c r="T5" s="55">
        <f>S5/S8</f>
        <v>0</v>
      </c>
      <c r="U5" s="47"/>
      <c r="V5" s="55">
        <f>U5/U8</f>
        <v>0</v>
      </c>
      <c r="W5" s="47"/>
      <c r="X5" s="55">
        <f>W5/W8</f>
        <v>0</v>
      </c>
      <c r="Y5" s="47"/>
      <c r="Z5" s="55">
        <f>Y5/Y8</f>
        <v>0</v>
      </c>
    </row>
    <row r="6" spans="2:26" x14ac:dyDescent="0.3">
      <c r="B6" s="117"/>
      <c r="C6" s="117"/>
      <c r="D6" s="47">
        <v>2</v>
      </c>
      <c r="E6" s="47" t="s">
        <v>248</v>
      </c>
      <c r="F6" s="47" t="s">
        <v>288</v>
      </c>
      <c r="G6" s="48">
        <v>2928.05</v>
      </c>
      <c r="H6" s="55">
        <f>G6/G8</f>
        <v>0.49333885971252722</v>
      </c>
      <c r="I6" s="48">
        <v>1849.07</v>
      </c>
      <c r="J6" s="55">
        <f>I6/I8</f>
        <v>0.57791564438749199</v>
      </c>
      <c r="K6" s="48">
        <v>3414.85</v>
      </c>
      <c r="L6" s="55">
        <f>K6/K8</f>
        <v>0.83945230398603721</v>
      </c>
      <c r="M6" s="48">
        <v>2053.62</v>
      </c>
      <c r="N6" s="55">
        <f>M6/M8</f>
        <v>0.84553213740175148</v>
      </c>
      <c r="O6" s="48">
        <v>3427.26</v>
      </c>
      <c r="P6" s="55">
        <f>O6/O8</f>
        <v>0.83611896531113616</v>
      </c>
      <c r="Q6" s="48">
        <v>2061.06</v>
      </c>
      <c r="R6" s="55">
        <f>Q6/Q8</f>
        <v>0.84230099634645716</v>
      </c>
      <c r="S6" s="48">
        <v>3439.72</v>
      </c>
      <c r="T6" s="55">
        <f>S6/S8</f>
        <v>0.83272891014995176</v>
      </c>
      <c r="U6" s="48">
        <v>2068.52</v>
      </c>
      <c r="V6" s="55">
        <f>U6/U8</f>
        <v>0.83901323101134895</v>
      </c>
      <c r="W6" s="48">
        <v>3452.23</v>
      </c>
      <c r="X6" s="55">
        <f>W6/W8</f>
        <v>0.82928487352566727</v>
      </c>
      <c r="Y6" s="48">
        <v>2076.0100000000002</v>
      </c>
      <c r="Z6" s="55">
        <f>Y6/Y8</f>
        <v>0.83566871289121469</v>
      </c>
    </row>
    <row r="7" spans="2:26" x14ac:dyDescent="0.3">
      <c r="B7" s="117"/>
      <c r="C7" s="117"/>
      <c r="D7" s="47">
        <v>3</v>
      </c>
      <c r="E7" s="47" t="s">
        <v>250</v>
      </c>
      <c r="F7" s="47" t="s">
        <v>288</v>
      </c>
      <c r="G7" s="47">
        <v>634.96</v>
      </c>
      <c r="H7" s="55">
        <f>G7/G8</f>
        <v>0.10698261380887153</v>
      </c>
      <c r="I7" s="47">
        <v>364.75</v>
      </c>
      <c r="J7" s="55">
        <f>I7/I8</f>
        <v>0.11400040630713694</v>
      </c>
      <c r="K7" s="47">
        <v>653.1</v>
      </c>
      <c r="L7" s="55">
        <f>K7/K8</f>
        <v>0.16054769601396282</v>
      </c>
      <c r="M7" s="47">
        <v>375.17</v>
      </c>
      <c r="N7" s="55">
        <f>M7/M8</f>
        <v>0.15446786259824852</v>
      </c>
      <c r="O7" s="47">
        <v>671.75</v>
      </c>
      <c r="P7" s="55">
        <f>O7/O8</f>
        <v>0.16388103468886389</v>
      </c>
      <c r="Q7" s="47">
        <v>385.88</v>
      </c>
      <c r="R7" s="55">
        <f>Q7/Q8</f>
        <v>0.15769900365354278</v>
      </c>
      <c r="S7" s="47">
        <v>690.94</v>
      </c>
      <c r="T7" s="55">
        <f>S7/S8</f>
        <v>0.16727108985004818</v>
      </c>
      <c r="U7" s="47">
        <v>396.9</v>
      </c>
      <c r="V7" s="55">
        <f>U7/U8</f>
        <v>0.160986768988651</v>
      </c>
      <c r="W7" s="47">
        <v>710.67</v>
      </c>
      <c r="X7" s="55">
        <f>W7/W8</f>
        <v>0.17071512647433279</v>
      </c>
      <c r="Y7" s="47">
        <v>408.24</v>
      </c>
      <c r="Z7" s="55">
        <f>Y7/Y8</f>
        <v>0.16433128710878536</v>
      </c>
    </row>
    <row r="8" spans="2:26" ht="19.5" customHeight="1" x14ac:dyDescent="0.3">
      <c r="B8" s="117"/>
      <c r="C8" s="117"/>
      <c r="D8" s="132" t="s">
        <v>251</v>
      </c>
      <c r="E8" s="132"/>
      <c r="F8" s="51" t="s">
        <v>288</v>
      </c>
      <c r="G8" s="49">
        <v>5935.17</v>
      </c>
      <c r="H8" s="56">
        <f>G8/G8</f>
        <v>1</v>
      </c>
      <c r="I8" s="49">
        <v>3199.55</v>
      </c>
      <c r="J8" s="56">
        <f>I8/I8</f>
        <v>1</v>
      </c>
      <c r="K8" s="49">
        <v>4067.95</v>
      </c>
      <c r="L8" s="56">
        <f>K8/K8</f>
        <v>1</v>
      </c>
      <c r="M8" s="49">
        <v>2428.79</v>
      </c>
      <c r="N8" s="56">
        <f>M8/M8</f>
        <v>1</v>
      </c>
      <c r="O8" s="49">
        <v>4099.01</v>
      </c>
      <c r="P8" s="56">
        <f>O8/O8</f>
        <v>1</v>
      </c>
      <c r="Q8" s="49">
        <v>2446.94</v>
      </c>
      <c r="R8" s="56">
        <f>Q8/Q8</f>
        <v>1</v>
      </c>
      <c r="S8" s="49">
        <v>4130.66</v>
      </c>
      <c r="T8" s="56">
        <f>S8/S8</f>
        <v>1</v>
      </c>
      <c r="U8" s="49">
        <v>2465.42</v>
      </c>
      <c r="V8" s="56">
        <f>U8/U8</f>
        <v>1</v>
      </c>
      <c r="W8" s="49">
        <v>4162.8999999999996</v>
      </c>
      <c r="X8" s="56">
        <f>W8/W8</f>
        <v>1</v>
      </c>
      <c r="Y8" s="49">
        <v>2484.25</v>
      </c>
      <c r="Z8" s="56">
        <f>Y8/Y8</f>
        <v>1</v>
      </c>
    </row>
    <row r="9" spans="2:26" ht="27" customHeight="1" x14ac:dyDescent="0.3">
      <c r="B9" s="138" t="s">
        <v>255</v>
      </c>
      <c r="C9" s="138" t="s">
        <v>283</v>
      </c>
      <c r="D9" s="47">
        <v>3</v>
      </c>
      <c r="E9" s="47" t="s">
        <v>252</v>
      </c>
      <c r="F9" s="47" t="s">
        <v>289</v>
      </c>
      <c r="G9" s="48">
        <v>3770.26</v>
      </c>
      <c r="H9" s="55">
        <f>G9/G33</f>
        <v>0.14901276955321782</v>
      </c>
      <c r="I9" s="48">
        <v>1345.82</v>
      </c>
      <c r="J9" s="55">
        <f>I9/I33</f>
        <v>9.6763663763847818E-2</v>
      </c>
      <c r="K9" s="48">
        <v>3778.41</v>
      </c>
      <c r="L9" s="55">
        <f>K9/K33</f>
        <v>0.1478639345461974</v>
      </c>
      <c r="M9" s="48">
        <v>1348.73</v>
      </c>
      <c r="N9" s="55">
        <f>M9/M33</f>
        <v>9.6160098332511046E-2</v>
      </c>
      <c r="O9" s="48">
        <v>3786.57</v>
      </c>
      <c r="P9" s="55">
        <f>O9/O33</f>
        <v>0.14670282157020453</v>
      </c>
      <c r="Q9" s="48">
        <v>1351.64</v>
      </c>
      <c r="R9" s="55">
        <f>Q9/Q33</f>
        <v>9.5547785910299721E-2</v>
      </c>
      <c r="S9" s="48">
        <v>3794.75</v>
      </c>
      <c r="T9" s="55">
        <f>S9/S33</f>
        <v>0.14553010965141036</v>
      </c>
      <c r="U9" s="48">
        <v>1354.56</v>
      </c>
      <c r="V9" s="55">
        <f>U9/U33</f>
        <v>9.4927673852911718E-2</v>
      </c>
      <c r="W9" s="48">
        <v>3802.94</v>
      </c>
      <c r="X9" s="55">
        <f>W9/W33</f>
        <v>0.14434540810768645</v>
      </c>
      <c r="Y9" s="48">
        <v>1357.49</v>
      </c>
      <c r="Z9" s="55">
        <f>Y9/Y33</f>
        <v>9.4299673022592498E-2</v>
      </c>
    </row>
    <row r="10" spans="2:26" x14ac:dyDescent="0.3">
      <c r="B10" s="139"/>
      <c r="C10" s="139"/>
      <c r="D10" s="47">
        <v>4</v>
      </c>
      <c r="E10" s="47" t="s">
        <v>253</v>
      </c>
      <c r="F10" s="47" t="s">
        <v>289</v>
      </c>
      <c r="G10" s="47">
        <v>877.28</v>
      </c>
      <c r="H10" s="55">
        <f>G10/G33</f>
        <v>3.4672919765121477E-2</v>
      </c>
      <c r="I10" s="47">
        <v>338.77</v>
      </c>
      <c r="J10" s="55">
        <f>I10/I33</f>
        <v>2.4357363074763883E-2</v>
      </c>
      <c r="K10" s="47">
        <v>879.17</v>
      </c>
      <c r="L10" s="55">
        <f>K10/K33</f>
        <v>3.440535445729298E-2</v>
      </c>
      <c r="M10" s="47">
        <v>339.5</v>
      </c>
      <c r="N10" s="55">
        <f>M10/M33</f>
        <v>2.4205254857449232E-2</v>
      </c>
      <c r="O10" s="47">
        <v>881.07</v>
      </c>
      <c r="P10" s="55">
        <f>O10/O33</f>
        <v>3.4135234526460653E-2</v>
      </c>
      <c r="Q10" s="47">
        <v>340.24</v>
      </c>
      <c r="R10" s="55">
        <f>Q10/Q33</f>
        <v>2.4051654788346286E-2</v>
      </c>
      <c r="S10" s="47">
        <v>882.98</v>
      </c>
      <c r="T10" s="55">
        <f>S10/S33</f>
        <v>3.3862619729890596E-2</v>
      </c>
      <c r="U10" s="47">
        <v>340.97</v>
      </c>
      <c r="V10" s="55">
        <f>U10/U33</f>
        <v>2.3895205050811566E-2</v>
      </c>
      <c r="W10" s="47">
        <v>884.88</v>
      </c>
      <c r="X10" s="55">
        <f>W10/W33</f>
        <v>3.3586742027570671E-2</v>
      </c>
      <c r="Y10" s="47">
        <v>341.71</v>
      </c>
      <c r="Z10" s="55">
        <f>Y10/Y33</f>
        <v>2.3737295500187904E-2</v>
      </c>
    </row>
    <row r="11" spans="2:26" x14ac:dyDescent="0.3">
      <c r="B11" s="139"/>
      <c r="C11" s="139"/>
      <c r="D11" s="47">
        <v>5</v>
      </c>
      <c r="E11" s="47" t="s">
        <v>254</v>
      </c>
      <c r="F11" s="47" t="s">
        <v>289</v>
      </c>
      <c r="G11" s="47">
        <v>847.84</v>
      </c>
      <c r="H11" s="55">
        <f>G11/G33</f>
        <v>3.3509356526605638E-2</v>
      </c>
      <c r="I11" s="47">
        <v>203.76</v>
      </c>
      <c r="J11" s="55">
        <f>I11/I33</f>
        <v>1.4650223750963452E-2</v>
      </c>
      <c r="K11" s="47">
        <v>849.67</v>
      </c>
      <c r="L11" s="55">
        <f>K11/K33</f>
        <v>3.3250904286688719E-2</v>
      </c>
      <c r="M11" s="47">
        <v>204.2</v>
      </c>
      <c r="N11" s="55">
        <f>M11/M33</f>
        <v>1.4558801301593911E-2</v>
      </c>
      <c r="O11" s="47">
        <v>851.51</v>
      </c>
      <c r="P11" s="55">
        <f>O11/O33</f>
        <v>3.2989993475690364E-2</v>
      </c>
      <c r="Q11" s="47">
        <v>204.65</v>
      </c>
      <c r="R11" s="55">
        <f>Q11/Q33</f>
        <v>1.4466762145647389E-2</v>
      </c>
      <c r="S11" s="47">
        <v>853.35</v>
      </c>
      <c r="T11" s="55">
        <f>S11/S33</f>
        <v>3.2726297930306618E-2</v>
      </c>
      <c r="U11" s="47">
        <v>205.09</v>
      </c>
      <c r="V11" s="55">
        <f>U11/U33</f>
        <v>1.4372723711385E-2</v>
      </c>
      <c r="W11" s="47">
        <v>855.19</v>
      </c>
      <c r="X11" s="55">
        <f>W11/W33</f>
        <v>3.2459820444080738E-2</v>
      </c>
      <c r="Y11" s="47">
        <v>205.53</v>
      </c>
      <c r="Z11" s="55">
        <f>Y11/Y33</f>
        <v>1.4277388265352551E-2</v>
      </c>
    </row>
    <row r="12" spans="2:26" x14ac:dyDescent="0.3">
      <c r="B12" s="139"/>
      <c r="C12" s="139"/>
      <c r="D12" s="47">
        <v>6</v>
      </c>
      <c r="E12" s="47" t="s">
        <v>256</v>
      </c>
      <c r="F12" s="47" t="s">
        <v>289</v>
      </c>
      <c r="G12" s="48">
        <v>4095.22</v>
      </c>
      <c r="H12" s="55">
        <f>G12/G33</f>
        <v>0.16185623116966166</v>
      </c>
      <c r="I12" s="48">
        <v>2041.16</v>
      </c>
      <c r="J12" s="55">
        <f>I12/I33</f>
        <v>0.14675819940869927</v>
      </c>
      <c r="K12" s="48">
        <v>4104.07</v>
      </c>
      <c r="L12" s="55">
        <f>K12/K33</f>
        <v>0.16060828175158659</v>
      </c>
      <c r="M12" s="48">
        <v>2045.57</v>
      </c>
      <c r="N12" s="55">
        <f>M12/M33</f>
        <v>0.14584254250000714</v>
      </c>
      <c r="O12" s="48">
        <v>4112.93</v>
      </c>
      <c r="P12" s="55">
        <f>O12/O33</f>
        <v>0.15934696464630033</v>
      </c>
      <c r="Q12" s="48">
        <v>2049.9899999999998</v>
      </c>
      <c r="R12" s="55">
        <f>Q12/Q33</f>
        <v>0.14491433047132024</v>
      </c>
      <c r="S12" s="48">
        <v>4121.82</v>
      </c>
      <c r="T12" s="55">
        <f>S12/S33</f>
        <v>0.15807336888158013</v>
      </c>
      <c r="U12" s="48">
        <v>2054.42</v>
      </c>
      <c r="V12" s="55">
        <f>U12/U33</f>
        <v>0.14397391899723816</v>
      </c>
      <c r="W12" s="48">
        <v>4130.72</v>
      </c>
      <c r="X12" s="55">
        <f>W12/W33</f>
        <v>0.15678671348445747</v>
      </c>
      <c r="Y12" s="48">
        <v>2058.85</v>
      </c>
      <c r="Z12" s="55">
        <f>Y12/Y33</f>
        <v>0.14302048766662337</v>
      </c>
    </row>
    <row r="13" spans="2:26" x14ac:dyDescent="0.3">
      <c r="B13" s="139"/>
      <c r="C13" s="139"/>
      <c r="D13" s="47">
        <v>7</v>
      </c>
      <c r="E13" s="47" t="s">
        <v>257</v>
      </c>
      <c r="F13" s="47" t="s">
        <v>289</v>
      </c>
      <c r="G13" s="47">
        <v>543.94000000000005</v>
      </c>
      <c r="H13" s="55">
        <f>G13/G33</f>
        <v>2.1498253667062033E-2</v>
      </c>
      <c r="I13" s="47">
        <v>326.38</v>
      </c>
      <c r="J13" s="55">
        <f>I13/I33</f>
        <v>2.3466529386726793E-2</v>
      </c>
      <c r="K13" s="47">
        <v>545.12</v>
      </c>
      <c r="L13" s="55">
        <f>K13/K33</f>
        <v>2.1332673796603103E-2</v>
      </c>
      <c r="M13" s="47">
        <v>327.08999999999997</v>
      </c>
      <c r="N13" s="55">
        <f>M13/M33</f>
        <v>2.3320461889022294E-2</v>
      </c>
      <c r="O13" s="47">
        <v>546.29</v>
      </c>
      <c r="P13" s="55">
        <f>O13/O33</f>
        <v>2.1164875968379571E-2</v>
      </c>
      <c r="Q13" s="47">
        <v>327.79</v>
      </c>
      <c r="R13" s="55">
        <f>Q13/Q33</f>
        <v>2.3171561024782593E-2</v>
      </c>
      <c r="S13" s="47">
        <v>547.47</v>
      </c>
      <c r="T13" s="55">
        <f>S13/S33</f>
        <v>2.0995683281074547E-2</v>
      </c>
      <c r="U13" s="47">
        <v>328.5</v>
      </c>
      <c r="V13" s="55">
        <f>U13/U33</f>
        <v>2.3021306446876846E-2</v>
      </c>
      <c r="W13" s="47">
        <v>548.66</v>
      </c>
      <c r="X13" s="55">
        <f>W13/W33</f>
        <v>2.0825085752697453E-2</v>
      </c>
      <c r="Y13" s="47">
        <v>329.21</v>
      </c>
      <c r="Z13" s="55">
        <f>Y13/Y33</f>
        <v>2.2868967989279974E-2</v>
      </c>
    </row>
    <row r="14" spans="2:26" x14ac:dyDescent="0.3">
      <c r="B14" s="139"/>
      <c r="C14" s="139"/>
      <c r="D14" s="47">
        <v>8</v>
      </c>
      <c r="E14" s="47" t="s">
        <v>258</v>
      </c>
      <c r="F14" s="47" t="s">
        <v>289</v>
      </c>
      <c r="G14" s="48">
        <v>1935.28</v>
      </c>
      <c r="H14" s="55">
        <f>G14/G33</f>
        <v>7.6488473649284489E-2</v>
      </c>
      <c r="I14" s="47">
        <v>595.38</v>
      </c>
      <c r="J14" s="55">
        <f>I14/I33</f>
        <v>4.2807470636281021E-2</v>
      </c>
      <c r="K14" s="48">
        <v>1989.78</v>
      </c>
      <c r="L14" s="55">
        <f>K14/K33</f>
        <v>7.7867859676777437E-2</v>
      </c>
      <c r="M14" s="47">
        <v>612.25</v>
      </c>
      <c r="N14" s="55">
        <f>M14/M33</f>
        <v>4.3651450033794677E-2</v>
      </c>
      <c r="O14" s="48">
        <v>2045.84</v>
      </c>
      <c r="P14" s="55">
        <f>O14/O33</f>
        <v>7.9261838677533294E-2</v>
      </c>
      <c r="Q14" s="47">
        <v>629.6</v>
      </c>
      <c r="R14" s="55">
        <f>Q14/Q33</f>
        <v>4.450658903933348E-2</v>
      </c>
      <c r="S14" s="48">
        <v>2103.5</v>
      </c>
      <c r="T14" s="55">
        <f>S14/S33</f>
        <v>8.0670027182750306E-2</v>
      </c>
      <c r="U14" s="47">
        <v>647.44000000000005</v>
      </c>
      <c r="V14" s="55">
        <f>U14/U33</f>
        <v>4.5372647324097251E-2</v>
      </c>
      <c r="W14" s="48">
        <v>2162.81</v>
      </c>
      <c r="X14" s="55">
        <f>W14/W33</f>
        <v>8.209219501474789E-2</v>
      </c>
      <c r="Y14" s="47">
        <v>665.79</v>
      </c>
      <c r="Z14" s="55">
        <f>Y14/Y33</f>
        <v>4.6249901878991265E-2</v>
      </c>
    </row>
    <row r="15" spans="2:26" x14ac:dyDescent="0.3">
      <c r="B15" s="140"/>
      <c r="C15" s="139"/>
      <c r="D15" s="141" t="s">
        <v>259</v>
      </c>
      <c r="E15" s="141"/>
      <c r="F15" s="47" t="s">
        <v>289</v>
      </c>
      <c r="G15" s="50">
        <f>SUM(G9:G14)</f>
        <v>12069.820000000002</v>
      </c>
      <c r="H15" s="59">
        <f>G15/G33</f>
        <v>0.47703800433095317</v>
      </c>
      <c r="I15" s="50">
        <v>4851.28</v>
      </c>
      <c r="J15" s="59">
        <f>I15/I33</f>
        <v>0.34880416901538069</v>
      </c>
      <c r="K15" s="50">
        <v>12146.22</v>
      </c>
      <c r="L15" s="59">
        <f>K15/K33</f>
        <v>0.4753290085151462</v>
      </c>
      <c r="M15" s="50">
        <v>4877.34</v>
      </c>
      <c r="N15" s="59">
        <f>M15/M33</f>
        <v>0.3477386089143783</v>
      </c>
      <c r="O15" s="50">
        <v>12224.22</v>
      </c>
      <c r="P15" s="59">
        <f>O15/O33</f>
        <v>0.47360211629388221</v>
      </c>
      <c r="Q15" s="50">
        <v>4903.8999999999996</v>
      </c>
      <c r="R15" s="59">
        <f>Q15/Q33</f>
        <v>0.34665797647710839</v>
      </c>
      <c r="S15" s="50">
        <v>12303.86</v>
      </c>
      <c r="T15" s="59">
        <f>S15/S33</f>
        <v>0.47185772315319907</v>
      </c>
      <c r="U15" s="50">
        <v>4930.9799999999996</v>
      </c>
      <c r="V15" s="59">
        <f>U15/U33</f>
        <v>0.3455634753833205</v>
      </c>
      <c r="W15" s="50">
        <v>12385.2</v>
      </c>
      <c r="X15" s="59">
        <f>W15/W33</f>
        <v>0.47009596483124072</v>
      </c>
      <c r="Y15" s="50">
        <v>4958.58</v>
      </c>
      <c r="Z15" s="59">
        <f>Y15/Y33</f>
        <v>0.34445371432302757</v>
      </c>
    </row>
    <row r="16" spans="2:26" ht="26.4" x14ac:dyDescent="0.3">
      <c r="B16" s="138" t="s">
        <v>268</v>
      </c>
      <c r="C16" s="139"/>
      <c r="D16" s="47">
        <v>9</v>
      </c>
      <c r="E16" s="47" t="s">
        <v>260</v>
      </c>
      <c r="F16" s="47" t="s">
        <v>290</v>
      </c>
      <c r="G16" s="48">
        <v>3622.36</v>
      </c>
      <c r="H16" s="55">
        <f>G16/G33</f>
        <v>0.14316728711515758</v>
      </c>
      <c r="I16" s="48">
        <v>1709.97</v>
      </c>
      <c r="J16" s="55">
        <f>I16/I33</f>
        <v>0.12294583386059568</v>
      </c>
      <c r="K16" s="48">
        <v>3725.82</v>
      </c>
      <c r="L16" s="55">
        <f>K16/K33</f>
        <v>0.14580588253019477</v>
      </c>
      <c r="M16" s="48">
        <v>1758.81</v>
      </c>
      <c r="N16" s="55">
        <f>M16/M33</f>
        <v>0.12539747951643676</v>
      </c>
      <c r="O16" s="48">
        <v>3832.23</v>
      </c>
      <c r="P16" s="55">
        <f>O16/O33</f>
        <v>0.14847182381574484</v>
      </c>
      <c r="Q16" s="48">
        <v>1809.04</v>
      </c>
      <c r="R16" s="55">
        <f>Q16/Q33</f>
        <v>0.12788151181022209</v>
      </c>
      <c r="S16" s="48">
        <v>3941.68</v>
      </c>
      <c r="T16" s="55">
        <f>S16/S33</f>
        <v>0.15116493118407567</v>
      </c>
      <c r="U16" s="48">
        <v>1860.7</v>
      </c>
      <c r="V16" s="55">
        <f>U16/U33</f>
        <v>0.13039800580122907</v>
      </c>
      <c r="W16" s="48">
        <v>4054.25</v>
      </c>
      <c r="X16" s="55">
        <f>W16/W33</f>
        <v>0.15388419770508813</v>
      </c>
      <c r="Y16" s="48">
        <v>1913.85</v>
      </c>
      <c r="Z16" s="55">
        <f>Y16/Y33</f>
        <v>0.13294788854009137</v>
      </c>
    </row>
    <row r="17" spans="2:26" ht="26.4" x14ac:dyDescent="0.3">
      <c r="B17" s="139"/>
      <c r="C17" s="139"/>
      <c r="D17" s="47">
        <v>10</v>
      </c>
      <c r="E17" s="47" t="s">
        <v>261</v>
      </c>
      <c r="F17" s="47" t="s">
        <v>290</v>
      </c>
      <c r="G17" s="48">
        <v>1426.87</v>
      </c>
      <c r="H17" s="55">
        <f>G17/G33</f>
        <v>5.6394479556423127E-2</v>
      </c>
      <c r="I17" s="47">
        <v>734.52</v>
      </c>
      <c r="J17" s="55">
        <f>I17/I33</f>
        <v>5.2811554522760477E-2</v>
      </c>
      <c r="K17" s="48">
        <v>1467.62</v>
      </c>
      <c r="L17" s="55">
        <f>K17/K33</f>
        <v>5.7433700318041243E-2</v>
      </c>
      <c r="M17" s="47">
        <v>755.49</v>
      </c>
      <c r="N17" s="55">
        <f>M17/M33</f>
        <v>5.3863999977185037E-2</v>
      </c>
      <c r="O17" s="48">
        <v>1509.53</v>
      </c>
      <c r="P17" s="55">
        <f>O17/O33</f>
        <v>5.8483617164048429E-2</v>
      </c>
      <c r="Q17" s="47">
        <v>777.07</v>
      </c>
      <c r="R17" s="55">
        <f>Q17/Q33</f>
        <v>5.4931281996179901E-2</v>
      </c>
      <c r="S17" s="48">
        <v>1552.64</v>
      </c>
      <c r="T17" s="55">
        <f>S17/S33</f>
        <v>5.9544336108878271E-2</v>
      </c>
      <c r="U17" s="47">
        <v>799.26</v>
      </c>
      <c r="V17" s="55">
        <f>U17/U33</f>
        <v>5.6012205146821273E-2</v>
      </c>
      <c r="W17" s="48">
        <v>1596.99</v>
      </c>
      <c r="X17" s="55">
        <f>W17/W33</f>
        <v>6.0615779710932648E-2</v>
      </c>
      <c r="Y17" s="47">
        <v>822.09</v>
      </c>
      <c r="Z17" s="55">
        <f>Y17/Y33</f>
        <v>5.7107469075384026E-2</v>
      </c>
    </row>
    <row r="18" spans="2:26" x14ac:dyDescent="0.3">
      <c r="B18" s="139"/>
      <c r="C18" s="139"/>
      <c r="D18" s="47">
        <v>11</v>
      </c>
      <c r="E18" s="47" t="s">
        <v>262</v>
      </c>
      <c r="F18" s="47" t="s">
        <v>290</v>
      </c>
      <c r="G18" s="47">
        <v>136.63</v>
      </c>
      <c r="H18" s="55">
        <f>G18/G33</f>
        <v>5.4000558858158711E-3</v>
      </c>
      <c r="I18" s="47">
        <v>67.67</v>
      </c>
      <c r="J18" s="55">
        <f>I18/I33</f>
        <v>4.8654330645254065E-3</v>
      </c>
      <c r="K18" s="47">
        <v>140.53</v>
      </c>
      <c r="L18" s="55">
        <f>K18/K33</f>
        <v>5.4994875415259646E-3</v>
      </c>
      <c r="M18" s="47">
        <v>69.599999999999994</v>
      </c>
      <c r="N18" s="55">
        <f>M18/M33</f>
        <v>4.9622554877127136E-3</v>
      </c>
      <c r="O18" s="47">
        <v>144.54</v>
      </c>
      <c r="P18" s="55">
        <f>O18/O33</f>
        <v>5.5999032976433456E-3</v>
      </c>
      <c r="Q18" s="47">
        <v>71.59</v>
      </c>
      <c r="R18" s="55">
        <f>Q18/Q33</f>
        <v>5.060715866146575E-3</v>
      </c>
      <c r="S18" s="47">
        <v>148.66999999999999</v>
      </c>
      <c r="T18" s="55">
        <f>S18/S33</f>
        <v>5.7015511962250943E-3</v>
      </c>
      <c r="U18" s="47">
        <v>73.63</v>
      </c>
      <c r="V18" s="55">
        <f>U18/U33</f>
        <v>5.1599963278037815E-3</v>
      </c>
      <c r="W18" s="47">
        <v>152.91999999999999</v>
      </c>
      <c r="X18" s="55">
        <f>W18/W33</f>
        <v>5.8042724333876982E-3</v>
      </c>
      <c r="Y18" s="47">
        <v>75.73</v>
      </c>
      <c r="Z18" s="55">
        <f>Y18/Y33</f>
        <v>5.2606753920846046E-3</v>
      </c>
    </row>
    <row r="19" spans="2:26" x14ac:dyDescent="0.3">
      <c r="B19" s="139"/>
      <c r="C19" s="139"/>
      <c r="D19" s="47">
        <v>12</v>
      </c>
      <c r="E19" s="47" t="s">
        <v>263</v>
      </c>
      <c r="F19" s="47" t="s">
        <v>290</v>
      </c>
      <c r="G19" s="47">
        <v>281.22000000000003</v>
      </c>
      <c r="H19" s="55">
        <f>G19/G33</f>
        <v>1.1114716505958718E-2</v>
      </c>
      <c r="I19" s="47">
        <v>151.9</v>
      </c>
      <c r="J19" s="55">
        <f>I19/I33</f>
        <v>1.0921520356160917E-2</v>
      </c>
      <c r="K19" s="47">
        <v>289.25</v>
      </c>
      <c r="L19" s="55">
        <f>K19/K33</f>
        <v>1.131948175753494E-2</v>
      </c>
      <c r="M19" s="47">
        <v>156.22999999999999</v>
      </c>
      <c r="N19" s="55">
        <f>M19/M33</f>
        <v>1.113869504088157E-2</v>
      </c>
      <c r="O19" s="47">
        <v>297.51</v>
      </c>
      <c r="P19" s="55">
        <f>O19/O33</f>
        <v>1.1526409506585525E-2</v>
      </c>
      <c r="Q19" s="47">
        <v>160.69999999999999</v>
      </c>
      <c r="R19" s="55">
        <f>Q19/Q33</f>
        <v>1.1359925124874349E-2</v>
      </c>
      <c r="S19" s="47">
        <v>306.01</v>
      </c>
      <c r="T19" s="55">
        <f>S19/S33</f>
        <v>1.1735600198808377E-2</v>
      </c>
      <c r="U19" s="47">
        <v>165.28</v>
      </c>
      <c r="V19" s="55">
        <f>U19/U33</f>
        <v>1.158283570636166E-2</v>
      </c>
      <c r="W19" s="47">
        <v>314.75</v>
      </c>
      <c r="X19" s="55">
        <f>W19/W33</f>
        <v>1.1946735210625021E-2</v>
      </c>
      <c r="Y19" s="47">
        <v>170.01</v>
      </c>
      <c r="Z19" s="55">
        <f>Y19/Y33</f>
        <v>1.1809948810356576E-2</v>
      </c>
    </row>
    <row r="20" spans="2:26" x14ac:dyDescent="0.3">
      <c r="B20" s="139"/>
      <c r="C20" s="139"/>
      <c r="D20" s="47">
        <v>13</v>
      </c>
      <c r="E20" s="47" t="s">
        <v>264</v>
      </c>
      <c r="F20" s="47" t="s">
        <v>290</v>
      </c>
      <c r="G20" s="47">
        <v>90.53</v>
      </c>
      <c r="H20" s="55">
        <f>G20/G33</f>
        <v>3.5780360048518691E-3</v>
      </c>
      <c r="I20" s="47">
        <v>61.86</v>
      </c>
      <c r="J20" s="55">
        <f>I20/I33</f>
        <v>4.447697493298975E-3</v>
      </c>
      <c r="K20" s="47">
        <v>93.12</v>
      </c>
      <c r="L20" s="55">
        <f>K20/K33</f>
        <v>3.644149148700618E-3</v>
      </c>
      <c r="M20" s="47">
        <v>63.63</v>
      </c>
      <c r="N20" s="55">
        <f>M20/M33</f>
        <v>4.5366137454477011E-3</v>
      </c>
      <c r="O20" s="47">
        <v>95.78</v>
      </c>
      <c r="P20" s="55">
        <f>O20/O33</f>
        <v>3.7107979649113024E-3</v>
      </c>
      <c r="Q20" s="47">
        <v>65.44</v>
      </c>
      <c r="R20" s="55">
        <f>Q20/Q33</f>
        <v>4.6259707540247498E-3</v>
      </c>
      <c r="S20" s="47">
        <v>98.51</v>
      </c>
      <c r="T20" s="55">
        <f>S20/S33</f>
        <v>3.7778960673984941E-3</v>
      </c>
      <c r="U20" s="47">
        <v>67.31</v>
      </c>
      <c r="V20" s="55">
        <f>U20/U33</f>
        <v>4.7170902189932438E-3</v>
      </c>
      <c r="W20" s="47">
        <v>101.33</v>
      </c>
      <c r="X20" s="55">
        <f>W20/W33</f>
        <v>3.8461085906040769E-3</v>
      </c>
      <c r="Y20" s="47">
        <v>69.23</v>
      </c>
      <c r="Z20" s="55">
        <f>Y20/Y33</f>
        <v>4.8091450864124813E-3</v>
      </c>
    </row>
    <row r="21" spans="2:26" x14ac:dyDescent="0.3">
      <c r="B21" s="139"/>
      <c r="C21" s="139"/>
      <c r="D21" s="141" t="s">
        <v>259</v>
      </c>
      <c r="E21" s="141"/>
      <c r="F21" s="67" t="s">
        <v>290</v>
      </c>
      <c r="G21" s="50">
        <f>SUM(G16:G20)</f>
        <v>5557.61</v>
      </c>
      <c r="H21" s="59">
        <f>G21/G33</f>
        <v>0.21965457506820715</v>
      </c>
      <c r="I21" s="50">
        <f>SUM(I16:I20)</f>
        <v>2725.92</v>
      </c>
      <c r="J21" s="59">
        <f>I21/I33</f>
        <v>0.19599203929734146</v>
      </c>
      <c r="K21" s="50">
        <f>SUM(K16:K20)</f>
        <v>5716.34</v>
      </c>
      <c r="L21" s="59">
        <f>K21/K33</f>
        <v>0.22370270129599754</v>
      </c>
      <c r="M21" s="50">
        <f>SUM(M16:M20)</f>
        <v>2803.76</v>
      </c>
      <c r="N21" s="59">
        <f>M21/M33</f>
        <v>0.19989904376766379</v>
      </c>
      <c r="O21" s="50">
        <f>SUM(O16:O20)</f>
        <v>5879.59</v>
      </c>
      <c r="P21" s="59">
        <f>O21/O33</f>
        <v>0.22779255174893345</v>
      </c>
      <c r="Q21" s="50">
        <f>SUM(Q16:Q20)</f>
        <v>2883.84</v>
      </c>
      <c r="R21" s="59">
        <f>Q21/Q33</f>
        <v>0.20385940555144769</v>
      </c>
      <c r="S21" s="50">
        <f>SUM(S16:S20)</f>
        <v>6047.51</v>
      </c>
      <c r="T21" s="59">
        <f>S21/S33</f>
        <v>0.23192431475538594</v>
      </c>
      <c r="U21" s="50">
        <f>SUM(U16:U20)</f>
        <v>2966.1800000000003</v>
      </c>
      <c r="V21" s="59">
        <f>U21/U33</f>
        <v>0.20787013320120906</v>
      </c>
      <c r="W21" s="50">
        <f>SUM(W16:W20)</f>
        <v>6220.24</v>
      </c>
      <c r="X21" s="59">
        <f>W21/W33</f>
        <v>0.23609709365063755</v>
      </c>
      <c r="Y21" s="50">
        <f>SUM(Y16:Y20)</f>
        <v>3050.9100000000003</v>
      </c>
      <c r="Z21" s="59">
        <f>Y21/Y33</f>
        <v>0.21193512690432909</v>
      </c>
    </row>
    <row r="22" spans="2:26" x14ac:dyDescent="0.3">
      <c r="B22" s="139"/>
      <c r="C22" s="139"/>
      <c r="D22" s="62">
        <v>14</v>
      </c>
      <c r="E22" s="62" t="s">
        <v>265</v>
      </c>
      <c r="F22" s="47" t="s">
        <v>306</v>
      </c>
      <c r="G22" s="48">
        <v>2906.39</v>
      </c>
      <c r="H22" s="55">
        <f>G22/G33</f>
        <v>0.1148698560050969</v>
      </c>
      <c r="I22" s="48">
        <v>2774.63</v>
      </c>
      <c r="J22" s="55">
        <f>I22/I33</f>
        <v>0.1994942595511176</v>
      </c>
      <c r="K22" s="48">
        <v>2912.67</v>
      </c>
      <c r="L22" s="55">
        <f>K22/K33</f>
        <v>0.11398414842081002</v>
      </c>
      <c r="M22" s="48">
        <v>2780.63</v>
      </c>
      <c r="N22" s="55">
        <f>M22/M33</f>
        <v>0.1982499493792903</v>
      </c>
      <c r="O22" s="48">
        <v>2918.96</v>
      </c>
      <c r="P22" s="55">
        <f>O22/O33</f>
        <v>0.11308906689974416</v>
      </c>
      <c r="Q22" s="48">
        <v>2786.63</v>
      </c>
      <c r="R22" s="55">
        <f>Q22/Q33</f>
        <v>0.1969876051694375</v>
      </c>
      <c r="S22" s="48">
        <v>2925.26</v>
      </c>
      <c r="T22" s="55">
        <f>S22/S33</f>
        <v>0.11218483656601481</v>
      </c>
      <c r="U22" s="48">
        <v>2792.65</v>
      </c>
      <c r="V22" s="55">
        <f>U22/U33</f>
        <v>0.19570913683065641</v>
      </c>
      <c r="W22" s="48">
        <v>2931.58</v>
      </c>
      <c r="X22" s="55">
        <f>W22/W33</f>
        <v>0.11127183481736011</v>
      </c>
      <c r="Y22" s="48">
        <v>2798.68</v>
      </c>
      <c r="Z22" s="55">
        <f>Y22/Y33</f>
        <v>0.19441366705822447</v>
      </c>
    </row>
    <row r="23" spans="2:26" x14ac:dyDescent="0.3">
      <c r="B23" s="139"/>
      <c r="C23" s="139"/>
      <c r="D23" s="62">
        <v>15</v>
      </c>
      <c r="E23" s="62" t="s">
        <v>266</v>
      </c>
      <c r="F23" s="47" t="s">
        <v>306</v>
      </c>
      <c r="G23" s="47">
        <v>439.09</v>
      </c>
      <c r="H23" s="55">
        <f>G23/G33</f>
        <v>1.7354245326084251E-2</v>
      </c>
      <c r="I23" s="48">
        <v>2695.05</v>
      </c>
      <c r="J23" s="55">
        <f>I23/I33</f>
        <v>0.19377250451528297</v>
      </c>
      <c r="K23" s="47">
        <v>440.03</v>
      </c>
      <c r="L23" s="55">
        <f>K23/K33</f>
        <v>1.7220091815965774E-2</v>
      </c>
      <c r="M23" s="48">
        <v>2700.87</v>
      </c>
      <c r="N23" s="55">
        <f>M23/M33</f>
        <v>0.19256331866521031</v>
      </c>
      <c r="O23" s="47">
        <v>440.98</v>
      </c>
      <c r="P23" s="55">
        <f>O23/O33</f>
        <v>1.7084857867682046E-2</v>
      </c>
      <c r="Q23" s="48">
        <v>2706.7</v>
      </c>
      <c r="R23" s="55">
        <f>Q23/Q33</f>
        <v>0.19133733251709645</v>
      </c>
      <c r="S23" s="47">
        <v>441.94</v>
      </c>
      <c r="T23" s="55">
        <f>S23/S33</f>
        <v>1.6948567536555582E-2</v>
      </c>
      <c r="U23" s="48">
        <v>2712.55</v>
      </c>
      <c r="V23" s="55">
        <f>U23/U33</f>
        <v>0.1900957223819659</v>
      </c>
      <c r="W23" s="47">
        <v>442.89</v>
      </c>
      <c r="X23" s="55">
        <f>W23/W33</f>
        <v>1.681045133418178E-2</v>
      </c>
      <c r="Y23" s="48">
        <v>2718.41</v>
      </c>
      <c r="Z23" s="55">
        <f>Y23/Y33</f>
        <v>0.18883761511417813</v>
      </c>
    </row>
    <row r="24" spans="2:26" x14ac:dyDescent="0.3">
      <c r="B24" s="139"/>
      <c r="C24" s="139"/>
      <c r="D24" s="62">
        <v>16</v>
      </c>
      <c r="E24" s="62" t="s">
        <v>267</v>
      </c>
      <c r="F24" s="47" t="s">
        <v>306</v>
      </c>
      <c r="G24" s="47">
        <v>311.39</v>
      </c>
      <c r="H24" s="55">
        <f>G24/G33</f>
        <v>1.2307131686190471E-2</v>
      </c>
      <c r="I24" s="47">
        <v>183.56</v>
      </c>
      <c r="J24" s="55">
        <f>I24/I33</f>
        <v>1.3197855672000644E-2</v>
      </c>
      <c r="K24" s="47">
        <v>312.07</v>
      </c>
      <c r="L24" s="55">
        <f>K24/K33</f>
        <v>1.2212517448829487E-2</v>
      </c>
      <c r="M24" s="47">
        <v>183.95</v>
      </c>
      <c r="N24" s="55">
        <f>M24/M33</f>
        <v>1.3115041623056807E-2</v>
      </c>
      <c r="O24" s="47">
        <v>312.74</v>
      </c>
      <c r="P24" s="55">
        <f>O24/O33</f>
        <v>1.2116464351079147E-2</v>
      </c>
      <c r="Q24" s="47">
        <v>184.35</v>
      </c>
      <c r="R24" s="55">
        <f>Q24/Q33</f>
        <v>1.3031749824334698E-2</v>
      </c>
      <c r="S24" s="47">
        <v>313.42</v>
      </c>
      <c r="T24" s="55">
        <f>S24/S33</f>
        <v>1.2019776524657761E-2</v>
      </c>
      <c r="U24" s="47">
        <v>184.75</v>
      </c>
      <c r="V24" s="55">
        <f>U24/U33</f>
        <v>1.2947294873852351E-2</v>
      </c>
      <c r="W24" s="47">
        <v>314.08999999999997</v>
      </c>
      <c r="X24" s="55">
        <f>W24/W33</f>
        <v>1.1921684074043565E-2</v>
      </c>
      <c r="Y24" s="47">
        <v>185.15</v>
      </c>
      <c r="Z24" s="55">
        <f>Y24/Y33</f>
        <v>1.2861667091568262E-2</v>
      </c>
    </row>
    <row r="25" spans="2:26" x14ac:dyDescent="0.3">
      <c r="B25" s="139"/>
      <c r="C25" s="139"/>
      <c r="D25" s="62">
        <v>17</v>
      </c>
      <c r="E25" s="62" t="s">
        <v>269</v>
      </c>
      <c r="F25" s="47" t="s">
        <v>306</v>
      </c>
      <c r="G25" s="47">
        <v>21.31</v>
      </c>
      <c r="H25" s="55">
        <f>G25/G33</f>
        <v>8.422395588577634E-4</v>
      </c>
      <c r="I25" s="47">
        <v>10.66</v>
      </c>
      <c r="J25" s="55">
        <f>I25/I33</f>
        <v>7.6644770899720455E-4</v>
      </c>
      <c r="K25" s="47">
        <v>21.36</v>
      </c>
      <c r="L25" s="55">
        <f>K25/K33</f>
        <v>8.3590019132565713E-4</v>
      </c>
      <c r="M25" s="47">
        <v>10.68</v>
      </c>
      <c r="N25" s="55">
        <f>M25/M33</f>
        <v>7.6144954897660612E-4</v>
      </c>
      <c r="O25" s="47">
        <v>21.41</v>
      </c>
      <c r="P25" s="55">
        <f>O25/O33</f>
        <v>8.2948616025006251E-4</v>
      </c>
      <c r="Q25" s="47">
        <v>10.7</v>
      </c>
      <c r="R25" s="55">
        <f>Q25/Q33</f>
        <v>7.5638580482984149E-4</v>
      </c>
      <c r="S25" s="47">
        <v>21.45</v>
      </c>
      <c r="T25" s="55">
        <f>S25/S33</f>
        <v>8.2261568009032277E-4</v>
      </c>
      <c r="U25" s="47">
        <v>10.73</v>
      </c>
      <c r="V25" s="55">
        <f>U25/U33</f>
        <v>7.5195926385080239E-4</v>
      </c>
      <c r="W25" s="47">
        <v>21.5</v>
      </c>
      <c r="X25" s="55">
        <f>W25/W33</f>
        <v>8.1605975227462405E-4</v>
      </c>
      <c r="Y25" s="47">
        <v>10.75</v>
      </c>
      <c r="Z25" s="55">
        <f>Y25/Y33</f>
        <v>7.4676165938081999E-4</v>
      </c>
    </row>
    <row r="26" spans="2:26" x14ac:dyDescent="0.3">
      <c r="B26" s="139"/>
      <c r="C26" s="139"/>
      <c r="D26" s="141" t="s">
        <v>259</v>
      </c>
      <c r="E26" s="141"/>
      <c r="F26" s="67" t="s">
        <v>306</v>
      </c>
      <c r="G26" s="50">
        <f>SUM(G22:G25)</f>
        <v>3678.18</v>
      </c>
      <c r="H26" s="59">
        <f>G26/G33</f>
        <v>0.1453734725762294</v>
      </c>
      <c r="I26" s="50">
        <f>SUM(I22:I25)</f>
        <v>5663.9000000000005</v>
      </c>
      <c r="J26" s="59">
        <f>I26/I33</f>
        <v>0.40723106744739845</v>
      </c>
      <c r="K26" s="50">
        <f>SUM(K22:K25)</f>
        <v>3686.13</v>
      </c>
      <c r="L26" s="59">
        <f>K26/K33</f>
        <v>0.14425265787693092</v>
      </c>
      <c r="M26" s="50">
        <f>SUM(M22:M25)</f>
        <v>5676.13</v>
      </c>
      <c r="N26" s="59">
        <f>M26/M33</f>
        <v>0.40468975921653405</v>
      </c>
      <c r="O26" s="50">
        <f>SUM(O22:O25)</f>
        <v>3694.09</v>
      </c>
      <c r="P26" s="59">
        <f>O26/O33</f>
        <v>0.14311987527875542</v>
      </c>
      <c r="Q26" s="50">
        <f>SUM(Q22:Q25)</f>
        <v>5688.38</v>
      </c>
      <c r="R26" s="59">
        <f>Q26/Q33</f>
        <v>0.40211307331569851</v>
      </c>
      <c r="S26" s="50">
        <f>SUM(S22:S25)</f>
        <v>3702.07</v>
      </c>
      <c r="T26" s="59">
        <f>S26/S33</f>
        <v>0.14197579630731849</v>
      </c>
      <c r="U26" s="50">
        <f>SUM(U22:U25)</f>
        <v>5700.68</v>
      </c>
      <c r="V26" s="59">
        <f>U26/U33</f>
        <v>0.39950411335032543</v>
      </c>
      <c r="W26" s="50">
        <f>SUM(W22:W25)</f>
        <v>3710.06</v>
      </c>
      <c r="X26" s="59">
        <f>W26/W33</f>
        <v>0.14082002997786008</v>
      </c>
      <c r="Y26" s="50">
        <f>SUM(Y22:Y25)</f>
        <v>5712.99</v>
      </c>
      <c r="Z26" s="59">
        <f>Y26/Y33</f>
        <v>0.39685971092335171</v>
      </c>
    </row>
    <row r="27" spans="2:26" x14ac:dyDescent="0.3">
      <c r="B27" s="139"/>
      <c r="C27" s="139"/>
      <c r="D27" s="62">
        <v>18</v>
      </c>
      <c r="E27" s="62" t="s">
        <v>270</v>
      </c>
      <c r="F27" s="47" t="s">
        <v>307</v>
      </c>
      <c r="G27" s="47">
        <v>978.43</v>
      </c>
      <c r="H27" s="55">
        <f>G27/G33</f>
        <v>3.8670692237128178E-2</v>
      </c>
      <c r="I27" s="47">
        <v>83.5</v>
      </c>
      <c r="J27" s="55">
        <f>I27/I33</f>
        <v>6.0036007224452707E-3</v>
      </c>
      <c r="K27" s="47">
        <v>980.54</v>
      </c>
      <c r="L27" s="55">
        <f>K27/K33</f>
        <v>3.8372358314721904E-2</v>
      </c>
      <c r="M27" s="47">
        <v>83.68</v>
      </c>
      <c r="N27" s="55">
        <f>M27/M33</f>
        <v>5.9661140691350568E-3</v>
      </c>
      <c r="O27" s="47">
        <v>982.66</v>
      </c>
      <c r="P27" s="55">
        <f>O27/O33</f>
        <v>3.8071128922528091E-2</v>
      </c>
      <c r="Q27" s="47">
        <v>83.86</v>
      </c>
      <c r="R27" s="55">
        <f>Q27/Q33</f>
        <v>5.928085382526216E-3</v>
      </c>
      <c r="S27" s="47">
        <v>984.78</v>
      </c>
      <c r="T27" s="55">
        <f>S27/S33</f>
        <v>3.7766688551950957E-2</v>
      </c>
      <c r="U27" s="47">
        <v>84.04</v>
      </c>
      <c r="V27" s="55">
        <f>U27/U33</f>
        <v>5.8895299658920253E-3</v>
      </c>
      <c r="W27" s="47">
        <v>986.91</v>
      </c>
      <c r="X27" s="55">
        <f>W27/W33</f>
        <v>3.7459420005458106E-2</v>
      </c>
      <c r="Y27" s="47">
        <v>84.22</v>
      </c>
      <c r="Z27" s="55">
        <f>Y27/Y33</f>
        <v>5.8504434374932702E-3</v>
      </c>
    </row>
    <row r="28" spans="2:26" x14ac:dyDescent="0.3">
      <c r="B28" s="139"/>
      <c r="C28" s="139"/>
      <c r="D28" s="62">
        <v>19</v>
      </c>
      <c r="E28" s="62" t="s">
        <v>271</v>
      </c>
      <c r="F28" s="47" t="s">
        <v>307</v>
      </c>
      <c r="G28" s="48">
        <v>1954.11</v>
      </c>
      <c r="H28" s="55">
        <f>G28/G33</f>
        <v>7.7232695652723796E-2</v>
      </c>
      <c r="I28" s="47">
        <v>153</v>
      </c>
      <c r="J28" s="55">
        <f>I28/I33</f>
        <v>1.1000609706995524E-2</v>
      </c>
      <c r="K28" s="48">
        <v>1958.33</v>
      </c>
      <c r="L28" s="55">
        <f>K28/K33</f>
        <v>7.6637098393201042E-2</v>
      </c>
      <c r="M28" s="47">
        <v>153.33000000000001</v>
      </c>
      <c r="N28" s="55">
        <f>M28/M33</f>
        <v>1.0931934395560209E-2</v>
      </c>
      <c r="O28" s="48">
        <v>1962.56</v>
      </c>
      <c r="P28" s="55">
        <f>O28/O33</f>
        <v>7.6035327354524174E-2</v>
      </c>
      <c r="Q28" s="47">
        <v>153.66</v>
      </c>
      <c r="R28" s="55">
        <f>Q28/Q33</f>
        <v>1.0862265679453594E-2</v>
      </c>
      <c r="S28" s="48">
        <v>1966.8</v>
      </c>
      <c r="T28" s="55">
        <f>S28/S33</f>
        <v>7.5427530051358826E-2</v>
      </c>
      <c r="U28" s="47">
        <v>153.99</v>
      </c>
      <c r="V28" s="55">
        <f>U28/U33</f>
        <v>1.079163159742638E-2</v>
      </c>
      <c r="W28" s="48">
        <v>1971.05</v>
      </c>
      <c r="X28" s="55">
        <f>W28/W33</f>
        <v>7.4813701149809203E-2</v>
      </c>
      <c r="Y28" s="47">
        <v>154.33000000000001</v>
      </c>
      <c r="Z28" s="55">
        <f>Y28/Y33</f>
        <v>1.072071878067367E-2</v>
      </c>
    </row>
    <row r="29" spans="2:26" x14ac:dyDescent="0.3">
      <c r="B29" s="139"/>
      <c r="C29" s="139"/>
      <c r="D29" s="62">
        <v>20</v>
      </c>
      <c r="E29" s="62" t="s">
        <v>272</v>
      </c>
      <c r="F29" s="47" t="s">
        <v>307</v>
      </c>
      <c r="G29" s="47">
        <v>585.36</v>
      </c>
      <c r="H29" s="55">
        <f>G29/G33</f>
        <v>2.3135304935381532E-2</v>
      </c>
      <c r="I29" s="47">
        <v>211.2</v>
      </c>
      <c r="J29" s="55">
        <f>I29/I33</f>
        <v>1.5185155360244803E-2</v>
      </c>
      <c r="K29" s="47">
        <v>586.62</v>
      </c>
      <c r="L29" s="55">
        <f>K29/K33</f>
        <v>2.2956730816266716E-2</v>
      </c>
      <c r="M29" s="47">
        <v>211.65</v>
      </c>
      <c r="N29" s="55">
        <f>M29/M33</f>
        <v>1.5089962269747069E-2</v>
      </c>
      <c r="O29" s="47">
        <v>587.89</v>
      </c>
      <c r="P29" s="55">
        <f>O29/O33</f>
        <v>2.2776581912630045E-2</v>
      </c>
      <c r="Q29" s="47">
        <v>212.11</v>
      </c>
      <c r="R29" s="55">
        <f>Q29/Q33</f>
        <v>1.4994111501164271E-2</v>
      </c>
      <c r="S29" s="47">
        <v>589.16</v>
      </c>
      <c r="T29" s="55">
        <f>S29/S33</f>
        <v>2.25945106798142E-2</v>
      </c>
      <c r="U29" s="47">
        <v>212.57</v>
      </c>
      <c r="V29" s="55">
        <f>U29/U33</f>
        <v>1.4896922713584813E-2</v>
      </c>
      <c r="W29" s="47">
        <v>590.42999999999995</v>
      </c>
      <c r="X29" s="55">
        <f>W29/W33</f>
        <v>2.2410519048163081E-2</v>
      </c>
      <c r="Y29" s="47">
        <v>213.03</v>
      </c>
      <c r="Z29" s="55">
        <f>Y29/Y33</f>
        <v>1.4798384771897309E-2</v>
      </c>
    </row>
    <row r="30" spans="2:26" ht="26.4" x14ac:dyDescent="0.3">
      <c r="B30" s="139"/>
      <c r="C30" s="139"/>
      <c r="D30" s="47">
        <v>21</v>
      </c>
      <c r="E30" s="47" t="s">
        <v>273</v>
      </c>
      <c r="F30" s="47" t="s">
        <v>307</v>
      </c>
      <c r="G30" s="47">
        <v>402.43</v>
      </c>
      <c r="H30" s="55">
        <f>G30/G33</f>
        <v>1.5905324527035653E-2</v>
      </c>
      <c r="I30" s="47">
        <v>186.09</v>
      </c>
      <c r="J30" s="55">
        <f>I30/I33</f>
        <v>1.3379761178920244E-2</v>
      </c>
      <c r="K30" s="47">
        <v>403.3</v>
      </c>
      <c r="L30" s="55">
        <f>K30/K33</f>
        <v>1.5782703518803256E-2</v>
      </c>
      <c r="M30" s="47">
        <v>186.49</v>
      </c>
      <c r="N30" s="55">
        <f>M30/M33</f>
        <v>1.3296135429648623E-2</v>
      </c>
      <c r="O30" s="47">
        <v>404.17</v>
      </c>
      <c r="P30" s="55">
        <f>O30/O33</f>
        <v>1.5658730564608491E-2</v>
      </c>
      <c r="Q30" s="47">
        <v>186.9</v>
      </c>
      <c r="R30" s="55">
        <f>Q30/Q33</f>
        <v>1.3212009992775456E-2</v>
      </c>
      <c r="S30" s="47">
        <v>405.04</v>
      </c>
      <c r="T30" s="55">
        <f>S30/S33</f>
        <v>1.5533438464512092E-2</v>
      </c>
      <c r="U30" s="47">
        <v>187.3</v>
      </c>
      <c r="V30" s="55">
        <f>U30/U33</f>
        <v>1.3125999079147743E-2</v>
      </c>
      <c r="W30" s="47">
        <v>405.91</v>
      </c>
      <c r="X30" s="55">
        <f>W30/W33</f>
        <v>1.5406828560269427E-2</v>
      </c>
      <c r="Y30" s="47">
        <v>187.71</v>
      </c>
      <c r="Z30" s="55">
        <f>Y30/Y33</f>
        <v>1.3039500565802206E-2</v>
      </c>
    </row>
    <row r="31" spans="2:26" x14ac:dyDescent="0.3">
      <c r="B31" s="139"/>
      <c r="C31" s="139"/>
      <c r="D31" s="47">
        <v>22</v>
      </c>
      <c r="E31" s="47" t="s">
        <v>274</v>
      </c>
      <c r="F31" s="47" t="s">
        <v>307</v>
      </c>
      <c r="G31" s="47">
        <v>75.650000000000006</v>
      </c>
      <c r="H31" s="55">
        <f>G31/G33</f>
        <v>2.9899306723411454E-3</v>
      </c>
      <c r="I31" s="47">
        <v>33.43</v>
      </c>
      <c r="J31" s="55">
        <f>I31/I33</f>
        <v>2.4035972712735973E-3</v>
      </c>
      <c r="K31" s="47">
        <v>75.81</v>
      </c>
      <c r="L31" s="55">
        <f>K31/K33</f>
        <v>2.9667412689324941E-3</v>
      </c>
      <c r="M31" s="47">
        <v>33.5</v>
      </c>
      <c r="N31" s="55">
        <f>M31/M33</f>
        <v>2.3884419373329875E-3</v>
      </c>
      <c r="O31" s="47">
        <v>75.98</v>
      </c>
      <c r="P31" s="55">
        <f>O31/O33</f>
        <v>2.9436879241382416E-3</v>
      </c>
      <c r="Q31" s="47">
        <v>33.57</v>
      </c>
      <c r="R31" s="55">
        <f>Q31/Q33</f>
        <v>2.3730720998259608E-3</v>
      </c>
      <c r="S31" s="47">
        <v>76.14</v>
      </c>
      <c r="T31" s="55">
        <f>S31/S33</f>
        <v>2.9199980364604744E-3</v>
      </c>
      <c r="U31" s="47">
        <v>33.65</v>
      </c>
      <c r="V31" s="55">
        <f>U31/U33</f>
        <v>2.3581947090940817E-3</v>
      </c>
      <c r="W31" s="47">
        <v>76.31</v>
      </c>
      <c r="X31" s="55">
        <f>W31/W33</f>
        <v>2.8964427765617007E-3</v>
      </c>
      <c r="Y31" s="47">
        <v>33.72</v>
      </c>
      <c r="Z31" s="55">
        <f>Y31/Y33</f>
        <v>2.3424002934252326E-3</v>
      </c>
    </row>
    <row r="32" spans="2:26" x14ac:dyDescent="0.3">
      <c r="B32" s="139"/>
      <c r="C32" s="139"/>
      <c r="D32" s="141" t="s">
        <v>259</v>
      </c>
      <c r="E32" s="141"/>
      <c r="F32" s="67" t="s">
        <v>307</v>
      </c>
      <c r="G32" s="67">
        <f>SUM(G27:G31)</f>
        <v>3995.98</v>
      </c>
      <c r="H32" s="59">
        <f>G32/G33</f>
        <v>0.1579339480246103</v>
      </c>
      <c r="I32" s="67">
        <f>SUM(I27:I31)</f>
        <v>667.21999999999991</v>
      </c>
      <c r="J32" s="59">
        <f>I32/I33</f>
        <v>4.7972724239879437E-2</v>
      </c>
      <c r="K32" s="67">
        <f>SUM(K27:K31)</f>
        <v>4004.6</v>
      </c>
      <c r="L32" s="59">
        <f>K32/K33</f>
        <v>0.1567156323119254</v>
      </c>
      <c r="M32" s="67">
        <f>SUM(M27:M31)</f>
        <v>668.65000000000009</v>
      </c>
      <c r="N32" s="59">
        <f>M32/M33</f>
        <v>4.7672588101423947E-2</v>
      </c>
      <c r="O32" s="67">
        <f>SUM(O27:O31)</f>
        <v>4013.2599999999998</v>
      </c>
      <c r="P32" s="59">
        <f>O32/O33</f>
        <v>0.15548545667842903</v>
      </c>
      <c r="Q32" s="67">
        <f>SUM(Q27:Q31)</f>
        <v>670.1</v>
      </c>
      <c r="R32" s="59">
        <f>Q32/Q33</f>
        <v>4.7369544655745499E-2</v>
      </c>
      <c r="S32" s="67">
        <f>SUM(S27:S31)</f>
        <v>4021.9199999999996</v>
      </c>
      <c r="T32" s="59">
        <f>S32/S33</f>
        <v>0.15424216578409655</v>
      </c>
      <c r="U32" s="67">
        <f>SUM(U27:U31)</f>
        <v>671.55000000000007</v>
      </c>
      <c r="V32" s="59">
        <f>U32/U33</f>
        <v>4.7062278065145048E-2</v>
      </c>
      <c r="W32" s="67">
        <f>SUM(W27:W31)</f>
        <v>4030.6099999999997</v>
      </c>
      <c r="X32" s="59">
        <f>W32/W33</f>
        <v>0.15298691154026151</v>
      </c>
      <c r="Y32" s="67">
        <f>SUM(Y27:Y31)</f>
        <v>673.0100000000001</v>
      </c>
      <c r="Z32" s="59">
        <f>Y32/Y33</f>
        <v>4.6751447849291694E-2</v>
      </c>
    </row>
    <row r="33" spans="2:26" x14ac:dyDescent="0.3">
      <c r="B33" s="140"/>
      <c r="C33" s="140"/>
      <c r="D33" s="132" t="s">
        <v>275</v>
      </c>
      <c r="E33" s="132"/>
      <c r="F33" s="49">
        <f>G15+G21+G26+G32</f>
        <v>25301.59</v>
      </c>
      <c r="G33" s="49">
        <f t="shared" ref="G33:Z33" si="0">G15+G21+G26+G32</f>
        <v>25301.59</v>
      </c>
      <c r="H33" s="56">
        <f t="shared" si="0"/>
        <v>1</v>
      </c>
      <c r="I33" s="49">
        <f t="shared" si="0"/>
        <v>13908.32</v>
      </c>
      <c r="J33" s="56">
        <f t="shared" si="0"/>
        <v>1</v>
      </c>
      <c r="K33" s="49">
        <f t="shared" si="0"/>
        <v>25553.289999999997</v>
      </c>
      <c r="L33" s="56">
        <f t="shared" si="0"/>
        <v>1</v>
      </c>
      <c r="M33" s="49">
        <f t="shared" si="0"/>
        <v>14025.88</v>
      </c>
      <c r="N33" s="56">
        <f t="shared" si="0"/>
        <v>1.0000000000000002</v>
      </c>
      <c r="O33" s="49">
        <f t="shared" si="0"/>
        <v>25811.159999999996</v>
      </c>
      <c r="P33" s="56">
        <f t="shared" si="0"/>
        <v>1</v>
      </c>
      <c r="Q33" s="49">
        <f t="shared" si="0"/>
        <v>14146.22</v>
      </c>
      <c r="R33" s="56">
        <f t="shared" si="0"/>
        <v>1</v>
      </c>
      <c r="S33" s="49">
        <f t="shared" si="0"/>
        <v>26075.360000000001</v>
      </c>
      <c r="T33" s="56">
        <f t="shared" si="0"/>
        <v>1</v>
      </c>
      <c r="U33" s="49">
        <f t="shared" si="0"/>
        <v>14269.39</v>
      </c>
      <c r="V33" s="56">
        <f t="shared" si="0"/>
        <v>1</v>
      </c>
      <c r="W33" s="49">
        <f t="shared" si="0"/>
        <v>26346.110000000004</v>
      </c>
      <c r="X33" s="56">
        <f t="shared" si="0"/>
        <v>1</v>
      </c>
      <c r="Y33" s="49">
        <f t="shared" si="0"/>
        <v>14395.49</v>
      </c>
      <c r="Z33" s="56">
        <f t="shared" si="0"/>
        <v>1</v>
      </c>
    </row>
    <row r="34" spans="2:26" x14ac:dyDescent="0.3">
      <c r="B34" s="138" t="s">
        <v>277</v>
      </c>
      <c r="C34" s="138" t="s">
        <v>284</v>
      </c>
      <c r="D34" s="47">
        <v>23</v>
      </c>
      <c r="E34" s="47" t="s">
        <v>276</v>
      </c>
      <c r="F34" s="47"/>
      <c r="G34" s="47">
        <v>69.41</v>
      </c>
      <c r="H34" s="59">
        <f>G34/G39</f>
        <v>5.2469649093630472E-2</v>
      </c>
      <c r="I34" s="47">
        <v>76.760000000000005</v>
      </c>
      <c r="J34" s="59">
        <f>I34/I39</f>
        <v>8.0224914037269682E-2</v>
      </c>
      <c r="K34" s="47">
        <v>69.56</v>
      </c>
      <c r="L34" s="59">
        <f>K34/K39</f>
        <v>5.246960142413179E-2</v>
      </c>
      <c r="M34" s="47">
        <v>76.930000000000007</v>
      </c>
      <c r="N34" s="59">
        <f>M34/M39</f>
        <v>8.0229017186717849E-2</v>
      </c>
      <c r="O34" s="47">
        <v>69.709999999999994</v>
      </c>
      <c r="P34" s="59">
        <f>O34/O39</f>
        <v>5.2469159033260826E-2</v>
      </c>
      <c r="Q34" s="47">
        <v>77.09</v>
      </c>
      <c r="R34" s="59">
        <f>Q34/Q39</f>
        <v>8.0222696290129555E-2</v>
      </c>
      <c r="S34" s="47">
        <v>69.86</v>
      </c>
      <c r="T34" s="59">
        <f>S34/S39</f>
        <v>5.2469112621577975E-2</v>
      </c>
      <c r="U34" s="47">
        <v>77.260000000000005</v>
      </c>
      <c r="V34" s="59">
        <f>U34/U39</f>
        <v>8.022595350092937E-2</v>
      </c>
      <c r="W34" s="47">
        <v>70.010000000000005</v>
      </c>
      <c r="X34" s="59">
        <f>W34/W39</f>
        <v>5.2468279960729364E-2</v>
      </c>
      <c r="Y34" s="47">
        <v>77.430000000000007</v>
      </c>
      <c r="Z34" s="59">
        <f>Y34/Y39</f>
        <v>8.0229196671881969E-2</v>
      </c>
    </row>
    <row r="35" spans="2:26" x14ac:dyDescent="0.3">
      <c r="B35" s="139"/>
      <c r="C35" s="139"/>
      <c r="D35" s="47">
        <v>24</v>
      </c>
      <c r="E35" s="47" t="s">
        <v>244</v>
      </c>
      <c r="F35" s="47"/>
      <c r="G35" s="47">
        <v>10.87</v>
      </c>
      <c r="H35" s="55">
        <f>G35/G39</f>
        <v>8.2170448875920361E-3</v>
      </c>
      <c r="I35" s="47">
        <v>12.91</v>
      </c>
      <c r="J35" s="55">
        <f>I35/I39</f>
        <v>1.3492751957023862E-2</v>
      </c>
      <c r="K35" s="47">
        <v>10.89</v>
      </c>
      <c r="L35" s="55">
        <f>K35/K39</f>
        <v>8.2144042482575515E-3</v>
      </c>
      <c r="M35" s="47">
        <v>12.94</v>
      </c>
      <c r="N35" s="55">
        <f>M35/M39</f>
        <v>1.3494910729184047E-2</v>
      </c>
      <c r="O35" s="47">
        <v>10.92</v>
      </c>
      <c r="P35" s="55">
        <f>O35/O39</f>
        <v>8.21923994610828E-3</v>
      </c>
      <c r="Q35" s="47">
        <v>12.97</v>
      </c>
      <c r="R35" s="55">
        <f>Q35/Q39</f>
        <v>1.3497060200842915E-2</v>
      </c>
      <c r="S35" s="47">
        <v>10.94</v>
      </c>
      <c r="T35" s="55">
        <f>S35/S39</f>
        <v>8.2166059559127258E-3</v>
      </c>
      <c r="U35" s="47">
        <v>12.99</v>
      </c>
      <c r="V35" s="55">
        <f>U35/U39</f>
        <v>1.3488676365222267E-2</v>
      </c>
      <c r="W35" s="47">
        <v>10.96</v>
      </c>
      <c r="X35" s="55">
        <f>W35/W39</f>
        <v>8.2138601395456909E-3</v>
      </c>
      <c r="Y35" s="47">
        <v>13.02</v>
      </c>
      <c r="Z35" s="55">
        <f>Y35/Y39</f>
        <v>1.3490690180393944E-2</v>
      </c>
    </row>
    <row r="36" spans="2:26" x14ac:dyDescent="0.3">
      <c r="B36" s="139"/>
      <c r="C36" s="139"/>
      <c r="D36" s="47">
        <v>25</v>
      </c>
      <c r="E36" s="47" t="s">
        <v>278</v>
      </c>
      <c r="F36" s="47"/>
      <c r="G36" s="47">
        <v>3.49</v>
      </c>
      <c r="H36" s="55">
        <f>G36/G39</f>
        <v>2.638223243578308E-3</v>
      </c>
      <c r="I36" s="47">
        <v>4.29</v>
      </c>
      <c r="J36" s="55">
        <f>I36/I39</f>
        <v>4.4836487912960779E-3</v>
      </c>
      <c r="K36" s="47">
        <v>3.5</v>
      </c>
      <c r="L36" s="55">
        <f>K36/K39</f>
        <v>2.6400748272636756E-3</v>
      </c>
      <c r="M36" s="47">
        <v>4.3</v>
      </c>
      <c r="N36" s="55">
        <f>M36/M39</f>
        <v>4.484398464875688E-3</v>
      </c>
      <c r="O36" s="47">
        <v>3.5</v>
      </c>
      <c r="P36" s="55">
        <f>O36/O39</f>
        <v>2.6343717775988078E-3</v>
      </c>
      <c r="Q36" s="47">
        <v>4.3099999999999996</v>
      </c>
      <c r="R36" s="55">
        <f>Q36/Q39</f>
        <v>4.485144908684114E-3</v>
      </c>
      <c r="S36" s="47">
        <v>3.51</v>
      </c>
      <c r="T36" s="55">
        <f>S36/S39</f>
        <v>2.636223665928123E-3</v>
      </c>
      <c r="U36" s="47">
        <v>4.32</v>
      </c>
      <c r="V36" s="55">
        <f>U36/U39</f>
        <v>4.4858415625681448E-3</v>
      </c>
      <c r="W36" s="47">
        <v>3.52</v>
      </c>
      <c r="X36" s="55">
        <f>W36/W39</f>
        <v>2.6380280740146743E-3</v>
      </c>
      <c r="Y36" s="47">
        <v>4.33</v>
      </c>
      <c r="Z36" s="55">
        <f>Y36/Y39</f>
        <v>4.4865352136025946E-3</v>
      </c>
    </row>
    <row r="37" spans="2:26" x14ac:dyDescent="0.3">
      <c r="B37" s="139"/>
      <c r="C37" s="139"/>
      <c r="D37" s="47">
        <v>26</v>
      </c>
      <c r="E37" s="47" t="s">
        <v>279</v>
      </c>
      <c r="F37" s="47"/>
      <c r="G37" s="47">
        <v>0.82</v>
      </c>
      <c r="H37" s="55">
        <f>G37/G39</f>
        <v>6.198690715570809E-4</v>
      </c>
      <c r="I37" s="47">
        <v>0.85</v>
      </c>
      <c r="J37" s="55">
        <f>I37/I39</f>
        <v>8.8836864163208996E-4</v>
      </c>
      <c r="K37" s="47">
        <v>0.82</v>
      </c>
      <c r="L37" s="55">
        <f>K37/K39</f>
        <v>6.1853181667320396E-4</v>
      </c>
      <c r="M37" s="47">
        <v>0.85</v>
      </c>
      <c r="N37" s="55">
        <f>M37/M39</f>
        <v>8.8645085933589183E-4</v>
      </c>
      <c r="O37" s="47">
        <v>0.82</v>
      </c>
      <c r="P37" s="55">
        <f>O37/O39</f>
        <v>6.1719567360886353E-4</v>
      </c>
      <c r="Q37" s="47">
        <v>0.85</v>
      </c>
      <c r="R37" s="55">
        <f>Q37/Q39</f>
        <v>8.8454133929965128E-4</v>
      </c>
      <c r="S37" s="47">
        <v>0.83</v>
      </c>
      <c r="T37" s="55">
        <f>S37/S39</f>
        <v>6.2338052499155054E-4</v>
      </c>
      <c r="U37" s="47">
        <v>0.85</v>
      </c>
      <c r="V37" s="55">
        <f>U37/U39</f>
        <v>8.8263086300530613E-4</v>
      </c>
      <c r="W37" s="47">
        <v>0.83</v>
      </c>
      <c r="X37" s="55">
        <f>W37/W39</f>
        <v>6.2203502881596009E-4</v>
      </c>
      <c r="Y37" s="47">
        <v>0.85</v>
      </c>
      <c r="Z37" s="55">
        <f>Y37/Y39</f>
        <v>8.8072862160789959E-4</v>
      </c>
    </row>
    <row r="38" spans="2:26" x14ac:dyDescent="0.3">
      <c r="B38" s="139"/>
      <c r="C38" s="139"/>
      <c r="D38" s="47">
        <v>27</v>
      </c>
      <c r="E38" s="47" t="s">
        <v>280</v>
      </c>
      <c r="F38" s="47"/>
      <c r="G38" s="48">
        <v>1238.27</v>
      </c>
      <c r="H38" s="55">
        <f>G38/G39</f>
        <v>0.9360552137036422</v>
      </c>
      <c r="I38" s="47">
        <v>862</v>
      </c>
      <c r="J38" s="55">
        <f>I38/I39</f>
        <v>0.90091031657277831</v>
      </c>
      <c r="K38" s="48">
        <v>1240.95</v>
      </c>
      <c r="L38" s="55">
        <f>K38/K39</f>
        <v>0.93605738768367375</v>
      </c>
      <c r="M38" s="47">
        <v>863.87</v>
      </c>
      <c r="N38" s="55">
        <f>M38/M39</f>
        <v>0.90091565159352582</v>
      </c>
      <c r="O38" s="48">
        <v>1243.6300000000001</v>
      </c>
      <c r="P38" s="55">
        <f>O38/O39</f>
        <v>0.93605250679291596</v>
      </c>
      <c r="Q38" s="47">
        <v>865.73</v>
      </c>
      <c r="R38" s="55">
        <f>Q38/Q39</f>
        <v>0.90091055726104374</v>
      </c>
      <c r="S38" s="48">
        <v>1246.32</v>
      </c>
      <c r="T38" s="55">
        <f>S38/S39</f>
        <v>0.93606218784032436</v>
      </c>
      <c r="U38" s="47">
        <v>867.6</v>
      </c>
      <c r="V38" s="55">
        <f>U38/U39</f>
        <v>0.90090651381576903</v>
      </c>
      <c r="W38" s="48">
        <v>1249.01</v>
      </c>
      <c r="X38" s="55">
        <f>W38/W39</f>
        <v>0.93605779679689438</v>
      </c>
      <c r="Y38" s="47">
        <v>869.48</v>
      </c>
      <c r="Z38" s="55">
        <f>Y38/Y39</f>
        <v>0.90091284931251359</v>
      </c>
    </row>
    <row r="39" spans="2:26" ht="19.5" customHeight="1" x14ac:dyDescent="0.3">
      <c r="B39" s="140"/>
      <c r="C39" s="140"/>
      <c r="D39" s="132" t="s">
        <v>251</v>
      </c>
      <c r="E39" s="132"/>
      <c r="F39" s="51"/>
      <c r="G39" s="49">
        <v>1322.86</v>
      </c>
      <c r="H39" s="56">
        <f>G39/G39</f>
        <v>1</v>
      </c>
      <c r="I39" s="51">
        <v>956.81</v>
      </c>
      <c r="J39" s="56">
        <f>I39/I39</f>
        <v>1</v>
      </c>
      <c r="K39" s="49">
        <v>1325.72</v>
      </c>
      <c r="L39" s="56">
        <f>K39/K39</f>
        <v>1</v>
      </c>
      <c r="M39" s="51">
        <v>958.88</v>
      </c>
      <c r="N39" s="56">
        <f>M39/M39</f>
        <v>1</v>
      </c>
      <c r="O39" s="49">
        <v>1328.59</v>
      </c>
      <c r="P39" s="56">
        <f>O39/O39</f>
        <v>1</v>
      </c>
      <c r="Q39" s="51">
        <v>960.95</v>
      </c>
      <c r="R39" s="56">
        <f>Q39/Q39</f>
        <v>1</v>
      </c>
      <c r="S39" s="49">
        <v>1331.45</v>
      </c>
      <c r="T39" s="56">
        <f>S39/S39</f>
        <v>1</v>
      </c>
      <c r="U39" s="51">
        <v>963.03</v>
      </c>
      <c r="V39" s="56">
        <f>U39/U39</f>
        <v>1</v>
      </c>
      <c r="W39" s="49">
        <v>1334.33</v>
      </c>
      <c r="X39" s="56">
        <f>W39/W39</f>
        <v>1</v>
      </c>
      <c r="Y39" s="51">
        <v>965.11</v>
      </c>
      <c r="Z39" s="56">
        <f>Y39/Y39</f>
        <v>1</v>
      </c>
    </row>
    <row r="40" spans="2:26" x14ac:dyDescent="0.3">
      <c r="B40" s="133" t="s">
        <v>281</v>
      </c>
      <c r="C40" s="133"/>
      <c r="D40" s="133"/>
      <c r="E40" s="133"/>
      <c r="F40" s="61"/>
      <c r="G40" s="52">
        <v>32559.62</v>
      </c>
      <c r="H40" s="60"/>
      <c r="I40" s="52">
        <v>18064.669999999998</v>
      </c>
      <c r="J40" s="60"/>
      <c r="K40" s="52">
        <v>30946.95</v>
      </c>
      <c r="L40" s="60"/>
      <c r="M40" s="52">
        <v>17413.560000000001</v>
      </c>
      <c r="N40" s="60"/>
      <c r="O40" s="52">
        <v>31238.75</v>
      </c>
      <c r="P40" s="60"/>
      <c r="Q40" s="52">
        <v>17554.12</v>
      </c>
      <c r="R40" s="60"/>
      <c r="S40" s="52">
        <v>31537.48</v>
      </c>
      <c r="T40" s="60"/>
      <c r="U40" s="52">
        <v>17697.849999999999</v>
      </c>
      <c r="V40" s="60"/>
      <c r="W40" s="52">
        <v>31843.33</v>
      </c>
      <c r="X40" s="60"/>
      <c r="Y40" s="52">
        <v>17844.84</v>
      </c>
      <c r="Z40" s="60"/>
    </row>
  </sheetData>
  <mergeCells count="26">
    <mergeCell ref="O3:R3"/>
    <mergeCell ref="C2:C4"/>
    <mergeCell ref="S3:V3"/>
    <mergeCell ref="D33:E33"/>
    <mergeCell ref="D21:E21"/>
    <mergeCell ref="D26:E26"/>
    <mergeCell ref="D32:E32"/>
    <mergeCell ref="K3:N3"/>
    <mergeCell ref="D8:E8"/>
    <mergeCell ref="D15:E15"/>
    <mergeCell ref="D39:E39"/>
    <mergeCell ref="B40:E40"/>
    <mergeCell ref="W3:Z3"/>
    <mergeCell ref="F2:F4"/>
    <mergeCell ref="B16:B33"/>
    <mergeCell ref="B34:B39"/>
    <mergeCell ref="C34:C39"/>
    <mergeCell ref="G3:J3"/>
    <mergeCell ref="B5:B8"/>
    <mergeCell ref="C5:C8"/>
    <mergeCell ref="B9:B15"/>
    <mergeCell ref="C9:C33"/>
    <mergeCell ref="B2:B4"/>
    <mergeCell ref="E2:E4"/>
    <mergeCell ref="D2:D3"/>
    <mergeCell ref="G2:Z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Metas  por Tramos</vt:lpstr>
      <vt:lpstr>Metas individuaes</vt:lpstr>
      <vt:lpstr>Criterios de evaluación</vt:lpstr>
      <vt:lpstr>Calidad Cuerpos de Agua</vt:lpstr>
      <vt:lpstr>METAS SUSTENTADAS </vt:lpstr>
      <vt:lpstr>Proyecciones Cargas EMPAS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CASTRO</dc:creator>
  <cp:lastModifiedBy>Sony</cp:lastModifiedBy>
  <dcterms:created xsi:type="dcterms:W3CDTF">2013-11-26T23:42:48Z</dcterms:created>
  <dcterms:modified xsi:type="dcterms:W3CDTF">2015-06-11T21:18:06Z</dcterms:modified>
</cp:coreProperties>
</file>